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.sharepoint.com/sites/21Capstone_Recomm.System/Shared Documents/General/"/>
    </mc:Choice>
  </mc:AlternateContent>
  <xr:revisionPtr revIDLastSave="483" documentId="14_{9678F26F-71E7-4B6A-9239-B7A5C89C7F0E}" xr6:coauthVersionLast="47" xr6:coauthVersionMax="47" xr10:uidLastSave="{A266B88F-380C-402C-8396-826A486A54DC}"/>
  <bookViews>
    <workbookView xWindow="-110" yWindow="-110" windowWidth="19420" windowHeight="10420" xr2:uid="{00000000-000D-0000-FFFF-FFFF00000000}"/>
  </bookViews>
  <sheets>
    <sheet name="UI_v2" sheetId="17" r:id="rId1"/>
    <sheet name="Job_Topic-Skill_Matrix" sheetId="18" r:id="rId2"/>
    <sheet name="Topic-Module_Matrix" sheetId="16" r:id="rId3"/>
  </sheets>
  <definedNames>
    <definedName name="Automation" localSheetId="0">#REF!</definedName>
    <definedName name="Automation">#REF!</definedName>
    <definedName name="AutomationSkills" localSheetId="0">#REF!</definedName>
    <definedName name="AutomationSkills">#REF!</definedName>
    <definedName name="Availability" localSheetId="0">#REF!</definedName>
    <definedName name="Availability">#REF!</definedName>
    <definedName name="Cyber" localSheetId="0">#REF!</definedName>
    <definedName name="Cyber">#REF!</definedName>
    <definedName name="CyberSkills" localSheetId="0">#REF!</definedName>
    <definedName name="CyberSkills">#REF!</definedName>
    <definedName name="DataScience" localSheetId="0">#REF!</definedName>
    <definedName name="DataScience">#REF!</definedName>
    <definedName name="DataScienceSkills" localSheetId="0">#REF!</definedName>
    <definedName name="DataScienceSkills">#REF!</definedName>
    <definedName name="EducationLevel" localSheetId="0">#REF!</definedName>
    <definedName name="EducationLevel">#REF!</definedName>
    <definedName name="JobField" localSheetId="0">#REF!</definedName>
    <definedName name="JobField">#REF!</definedName>
    <definedName name="Sensor" localSheetId="0">#REF!</definedName>
    <definedName name="Sensor">#REF!</definedName>
    <definedName name="Skill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17" l="1"/>
  <c r="AE26" i="17" s="1" a="1"/>
  <c r="AE26" i="17" s="1"/>
  <c r="E38" i="16"/>
  <c r="F38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E44" i="16"/>
  <c r="F44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E45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E46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E47" i="16"/>
  <c r="F47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D47" i="16"/>
  <c r="D46" i="16"/>
  <c r="D45" i="16"/>
  <c r="D44" i="16"/>
  <c r="D43" i="16"/>
  <c r="D42" i="16"/>
  <c r="D41" i="16"/>
  <c r="D40" i="16"/>
  <c r="D39" i="16"/>
  <c r="D38" i="16"/>
  <c r="E37" i="16"/>
  <c r="F37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D37" i="16"/>
  <c r="Y6" i="16"/>
  <c r="G7" i="17"/>
  <c r="P26" i="17" a="1"/>
  <c r="P26" i="17" s="1"/>
  <c r="G59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L24" i="17"/>
  <c r="L25" i="17"/>
  <c r="L26" i="17"/>
  <c r="L27" i="17"/>
  <c r="L28" i="17"/>
  <c r="L29" i="17"/>
  <c r="L30" i="17"/>
  <c r="L31" i="17"/>
  <c r="L32" i="17"/>
  <c r="L33" i="17"/>
  <c r="AD7" i="16"/>
  <c r="AE7" i="16"/>
  <c r="AF7" i="16"/>
  <c r="AG7" i="16"/>
  <c r="AH7" i="16"/>
  <c r="AD8" i="16"/>
  <c r="AE8" i="16"/>
  <c r="AF8" i="16"/>
  <c r="AG8" i="16"/>
  <c r="AH8" i="16"/>
  <c r="AD9" i="16"/>
  <c r="AE9" i="16"/>
  <c r="AF9" i="16"/>
  <c r="AG9" i="16"/>
  <c r="AH9" i="16"/>
  <c r="AD10" i="16"/>
  <c r="AE10" i="16"/>
  <c r="AF10" i="16"/>
  <c r="AG10" i="16"/>
  <c r="AH10" i="16"/>
  <c r="AD11" i="16"/>
  <c r="AE11" i="16"/>
  <c r="AF11" i="16"/>
  <c r="AG11" i="16"/>
  <c r="AH11" i="16"/>
  <c r="AD12" i="16"/>
  <c r="AE12" i="16"/>
  <c r="AF12" i="16"/>
  <c r="AG12" i="16"/>
  <c r="AH12" i="16"/>
  <c r="AD13" i="16"/>
  <c r="AE13" i="16"/>
  <c r="AF13" i="16"/>
  <c r="AG13" i="16"/>
  <c r="AH13" i="16"/>
  <c r="AD14" i="16"/>
  <c r="AE14" i="16"/>
  <c r="AF14" i="16"/>
  <c r="AG14" i="16"/>
  <c r="AH14" i="16"/>
  <c r="AD15" i="16"/>
  <c r="AE15" i="16"/>
  <c r="AF15" i="16"/>
  <c r="AG15" i="16"/>
  <c r="AH15" i="16"/>
  <c r="AD16" i="16"/>
  <c r="AE16" i="16"/>
  <c r="AF16" i="16"/>
  <c r="AG16" i="16"/>
  <c r="AH16" i="16"/>
  <c r="AD17" i="16"/>
  <c r="AE17" i="16"/>
  <c r="AF17" i="16"/>
  <c r="AG17" i="16"/>
  <c r="AH17" i="16"/>
  <c r="AD18" i="16"/>
  <c r="AE18" i="16"/>
  <c r="AF18" i="16"/>
  <c r="AG18" i="16"/>
  <c r="AH18" i="16"/>
  <c r="AD19" i="16"/>
  <c r="AE19" i="16"/>
  <c r="AF19" i="16"/>
  <c r="AG19" i="16"/>
  <c r="AH19" i="16"/>
  <c r="AD20" i="16"/>
  <c r="AE20" i="16"/>
  <c r="AF20" i="16"/>
  <c r="AG20" i="16"/>
  <c r="AH20" i="16"/>
  <c r="AD21" i="16"/>
  <c r="AE21" i="16"/>
  <c r="AF21" i="16"/>
  <c r="AG21" i="16"/>
  <c r="AH21" i="16"/>
  <c r="AD22" i="16"/>
  <c r="AE22" i="16"/>
  <c r="AF22" i="16"/>
  <c r="AG22" i="16"/>
  <c r="AH22" i="16"/>
  <c r="AD23" i="16"/>
  <c r="AE23" i="16"/>
  <c r="AF23" i="16"/>
  <c r="AG23" i="16"/>
  <c r="AH23" i="16"/>
  <c r="AD24" i="16"/>
  <c r="AE24" i="16"/>
  <c r="AF24" i="16"/>
  <c r="AG24" i="16"/>
  <c r="AH24" i="16"/>
  <c r="AD25" i="16"/>
  <c r="AE25" i="16"/>
  <c r="AF25" i="16"/>
  <c r="AG25" i="16"/>
  <c r="AH25" i="16"/>
  <c r="AD26" i="16"/>
  <c r="AE26" i="16"/>
  <c r="AF26" i="16"/>
  <c r="AG26" i="16"/>
  <c r="AH26" i="16"/>
  <c r="AD27" i="16"/>
  <c r="AE27" i="16"/>
  <c r="AF27" i="16"/>
  <c r="AG27" i="16"/>
  <c r="AH27" i="16"/>
  <c r="AD28" i="16"/>
  <c r="AE28" i="16"/>
  <c r="AF28" i="16"/>
  <c r="AG28" i="16"/>
  <c r="AH28" i="16"/>
  <c r="AD29" i="16"/>
  <c r="AE29" i="16"/>
  <c r="AF29" i="16"/>
  <c r="AG29" i="16"/>
  <c r="AH29" i="16"/>
  <c r="AD30" i="16"/>
  <c r="AE30" i="16"/>
  <c r="AF30" i="16"/>
  <c r="AG30" i="16"/>
  <c r="AH30" i="16"/>
  <c r="AD31" i="16"/>
  <c r="AE31" i="16"/>
  <c r="AF31" i="16"/>
  <c r="AG31" i="16"/>
  <c r="AH31" i="16"/>
  <c r="AD32" i="16"/>
  <c r="AE32" i="16"/>
  <c r="AF32" i="16"/>
  <c r="AG32" i="16"/>
  <c r="AH32" i="16"/>
  <c r="AD33" i="16"/>
  <c r="AE33" i="16"/>
  <c r="AF33" i="16"/>
  <c r="AG33" i="16"/>
  <c r="AH33" i="16"/>
  <c r="AD34" i="16"/>
  <c r="AE34" i="16"/>
  <c r="AF34" i="16"/>
  <c r="AG34" i="16"/>
  <c r="AH34" i="16"/>
  <c r="AD35" i="16"/>
  <c r="AE35" i="16"/>
  <c r="AF35" i="16"/>
  <c r="AG35" i="16"/>
  <c r="AH35" i="16"/>
  <c r="AH6" i="16"/>
  <c r="AD6" i="16"/>
  <c r="AE6" i="16"/>
  <c r="AF6" i="16"/>
  <c r="AG6" i="16"/>
  <c r="AC35" i="16"/>
  <c r="AB35" i="16"/>
  <c r="AA35" i="16"/>
  <c r="Z35" i="16"/>
  <c r="Y35" i="16"/>
  <c r="AC34" i="16"/>
  <c r="AB34" i="16"/>
  <c r="AA34" i="16"/>
  <c r="Z34" i="16"/>
  <c r="Y34" i="16"/>
  <c r="AC33" i="16"/>
  <c r="AB33" i="16"/>
  <c r="AA33" i="16"/>
  <c r="Z33" i="16"/>
  <c r="Y33" i="16"/>
  <c r="AC32" i="16"/>
  <c r="AB32" i="16"/>
  <c r="AA32" i="16"/>
  <c r="Z32" i="16"/>
  <c r="Y32" i="16"/>
  <c r="AC31" i="16"/>
  <c r="AB31" i="16"/>
  <c r="AA31" i="16"/>
  <c r="Z31" i="16"/>
  <c r="Y31" i="16"/>
  <c r="AC30" i="16"/>
  <c r="AB30" i="16"/>
  <c r="AA30" i="16"/>
  <c r="Z30" i="16"/>
  <c r="Y30" i="16"/>
  <c r="AC29" i="16"/>
  <c r="AB29" i="16"/>
  <c r="AA29" i="16"/>
  <c r="Z29" i="16"/>
  <c r="Y29" i="16"/>
  <c r="AC28" i="16"/>
  <c r="AB28" i="16"/>
  <c r="AA28" i="16"/>
  <c r="Z28" i="16"/>
  <c r="Y28" i="16"/>
  <c r="AC27" i="16"/>
  <c r="AB27" i="16"/>
  <c r="AA27" i="16"/>
  <c r="Z27" i="16"/>
  <c r="Y27" i="16"/>
  <c r="AC26" i="16"/>
  <c r="AB26" i="16"/>
  <c r="AA26" i="16"/>
  <c r="Z26" i="16"/>
  <c r="Y26" i="16"/>
  <c r="AC25" i="16"/>
  <c r="AB25" i="16"/>
  <c r="AA25" i="16"/>
  <c r="Z25" i="16"/>
  <c r="Y25" i="16"/>
  <c r="AC24" i="16"/>
  <c r="AB24" i="16"/>
  <c r="AA24" i="16"/>
  <c r="Z24" i="16"/>
  <c r="Y24" i="16"/>
  <c r="AC23" i="16"/>
  <c r="AB23" i="16"/>
  <c r="AA23" i="16"/>
  <c r="Z23" i="16"/>
  <c r="Y23" i="16"/>
  <c r="AC22" i="16"/>
  <c r="AB22" i="16"/>
  <c r="AA22" i="16"/>
  <c r="Z22" i="16"/>
  <c r="Y22" i="16"/>
  <c r="AC21" i="16"/>
  <c r="AB21" i="16"/>
  <c r="AA21" i="16"/>
  <c r="Z21" i="16"/>
  <c r="Y21" i="16"/>
  <c r="AC20" i="16"/>
  <c r="AB20" i="16"/>
  <c r="AA20" i="16"/>
  <c r="Z20" i="16"/>
  <c r="Y20" i="16"/>
  <c r="AC19" i="16"/>
  <c r="AB19" i="16"/>
  <c r="AA19" i="16"/>
  <c r="Z19" i="16"/>
  <c r="Y19" i="16"/>
  <c r="AC18" i="16"/>
  <c r="AB18" i="16"/>
  <c r="AA18" i="16"/>
  <c r="Z18" i="16"/>
  <c r="Y18" i="16"/>
  <c r="AC17" i="16"/>
  <c r="AB17" i="16"/>
  <c r="AA17" i="16"/>
  <c r="Z17" i="16"/>
  <c r="Y17" i="16"/>
  <c r="AC16" i="16"/>
  <c r="AB16" i="16"/>
  <c r="AA16" i="16"/>
  <c r="Z16" i="16"/>
  <c r="Y16" i="16"/>
  <c r="AC15" i="16"/>
  <c r="AB15" i="16"/>
  <c r="AA15" i="16"/>
  <c r="Z15" i="16"/>
  <c r="Y15" i="16"/>
  <c r="AC14" i="16"/>
  <c r="AB14" i="16"/>
  <c r="AA14" i="16"/>
  <c r="Z14" i="16"/>
  <c r="Y14" i="16"/>
  <c r="AC13" i="16"/>
  <c r="AB13" i="16"/>
  <c r="AA13" i="16"/>
  <c r="Z13" i="16"/>
  <c r="Y13" i="16"/>
  <c r="AC12" i="16"/>
  <c r="AB12" i="16"/>
  <c r="AA12" i="16"/>
  <c r="Z12" i="16"/>
  <c r="Y12" i="16"/>
  <c r="AC11" i="16"/>
  <c r="AB11" i="16"/>
  <c r="AA11" i="16"/>
  <c r="Z11" i="16"/>
  <c r="Y11" i="16"/>
  <c r="AC10" i="16"/>
  <c r="AB10" i="16"/>
  <c r="AA10" i="16"/>
  <c r="Z10" i="16"/>
  <c r="Y10" i="16"/>
  <c r="AC9" i="16"/>
  <c r="AB9" i="16"/>
  <c r="AA9" i="16"/>
  <c r="Z9" i="16"/>
  <c r="Y9" i="16"/>
  <c r="AC8" i="16"/>
  <c r="AB8" i="16"/>
  <c r="AA8" i="16"/>
  <c r="Z8" i="16"/>
  <c r="Y8" i="16"/>
  <c r="AC7" i="16"/>
  <c r="AB7" i="16"/>
  <c r="AA7" i="16"/>
  <c r="Z7" i="16"/>
  <c r="Y7" i="16"/>
  <c r="AC6" i="16"/>
  <c r="AB6" i="16"/>
  <c r="AA6" i="16"/>
  <c r="Z6" i="16"/>
  <c r="X35" i="16"/>
  <c r="X34" i="16"/>
  <c r="X33" i="16"/>
  <c r="X32" i="16"/>
  <c r="X31" i="16"/>
  <c r="X30" i="16"/>
  <c r="X29" i="16"/>
  <c r="X28" i="16"/>
  <c r="X27" i="16"/>
  <c r="X26" i="16"/>
  <c r="X25" i="16"/>
  <c r="X24" i="16"/>
  <c r="X23" i="16"/>
  <c r="X22" i="16"/>
  <c r="X21" i="16"/>
  <c r="X20" i="16"/>
  <c r="X19" i="16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H7" i="17" l="1" a="1"/>
  <c r="H7" i="17" s="1"/>
  <c r="AF26" i="17" a="1"/>
  <c r="AF26" i="17" s="1"/>
  <c r="R26" i="17" a="1"/>
  <c r="R26" i="17" s="1"/>
  <c r="AA26" i="17" a="1"/>
  <c r="AA26" i="17" s="1"/>
  <c r="AG26" i="17" a="1"/>
  <c r="AG26" i="17" s="1"/>
  <c r="Z26" i="17" a="1"/>
  <c r="Z26" i="17" s="1"/>
  <c r="W26" i="17" a="1"/>
  <c r="W26" i="17" s="1"/>
  <c r="V26" i="17" a="1"/>
  <c r="V26" i="17" s="1"/>
  <c r="U26" i="17" a="1"/>
  <c r="U26" i="17" s="1"/>
  <c r="AC26" i="17" a="1"/>
  <c r="AC26" i="17" s="1"/>
  <c r="Y26" i="17" a="1"/>
  <c r="Y26" i="17" s="1"/>
  <c r="AH26" i="17" a="1"/>
  <c r="AH26" i="17" s="1"/>
  <c r="S26" i="17" a="1"/>
  <c r="S26" i="17" s="1"/>
  <c r="AB26" i="17" a="1"/>
  <c r="AB26" i="17" s="1"/>
  <c r="Q26" i="17" a="1"/>
  <c r="Q26" i="17" s="1"/>
  <c r="T26" i="17" a="1"/>
  <c r="T26" i="17" s="1"/>
  <c r="AI26" i="17" a="1"/>
  <c r="AI26" i="17" s="1"/>
  <c r="AD26" i="17" a="1"/>
  <c r="AD26" i="17" s="1"/>
  <c r="X26" i="17" a="1"/>
  <c r="X26" i="17" s="1"/>
  <c r="L17" i="17"/>
  <c r="P17" i="17" l="1"/>
  <c r="V17" i="17"/>
  <c r="AB17" i="17"/>
  <c r="AH17" i="17"/>
  <c r="Q17" i="17"/>
  <c r="W17" i="17"/>
  <c r="AC17" i="17"/>
  <c r="AI17" i="17"/>
  <c r="AF17" i="17"/>
  <c r="R17" i="17"/>
  <c r="X17" i="17"/>
  <c r="AD17" i="17"/>
  <c r="Z17" i="17"/>
  <c r="S17" i="17"/>
  <c r="Y17" i="17"/>
  <c r="AE17" i="17"/>
  <c r="T17" i="17"/>
  <c r="U17" i="17"/>
  <c r="AA17" i="17"/>
  <c r="AG17" i="17"/>
  <c r="L15" i="17"/>
  <c r="L14" i="17"/>
  <c r="L18" i="17"/>
  <c r="L11" i="17"/>
  <c r="L8" i="17"/>
  <c r="L13" i="17"/>
  <c r="L12" i="17"/>
  <c r="L22" i="17"/>
  <c r="L7" i="17"/>
  <c r="L21" i="17"/>
  <c r="L9" i="17"/>
  <c r="L20" i="17"/>
  <c r="L23" i="17"/>
  <c r="L10" i="17"/>
  <c r="L19" i="17"/>
  <c r="P19" i="17" s="1"/>
  <c r="L16" i="17"/>
  <c r="U21" i="17" l="1"/>
  <c r="AA21" i="17"/>
  <c r="AG21" i="17"/>
  <c r="Q21" i="17"/>
  <c r="AC21" i="17"/>
  <c r="X21" i="17"/>
  <c r="P21" i="17"/>
  <c r="Y21" i="17"/>
  <c r="V21" i="17"/>
  <c r="AB21" i="17"/>
  <c r="AH21" i="17"/>
  <c r="W21" i="17"/>
  <c r="AI21" i="17"/>
  <c r="R21" i="17"/>
  <c r="AD21" i="17"/>
  <c r="S21" i="17"/>
  <c r="AE21" i="17"/>
  <c r="T21" i="17"/>
  <c r="Z21" i="17"/>
  <c r="AF21" i="17"/>
  <c r="Q22" i="17"/>
  <c r="W22" i="17"/>
  <c r="AC22" i="17"/>
  <c r="AI22" i="17"/>
  <c r="Y22" i="17"/>
  <c r="Z22" i="17"/>
  <c r="U22" i="17"/>
  <c r="R22" i="17"/>
  <c r="X22" i="17"/>
  <c r="AD22" i="17"/>
  <c r="P22" i="17"/>
  <c r="S22" i="17"/>
  <c r="AE22" i="17"/>
  <c r="T22" i="17"/>
  <c r="AF22" i="17"/>
  <c r="AA22" i="17"/>
  <c r="V22" i="17"/>
  <c r="AB22" i="17"/>
  <c r="AH22" i="17"/>
  <c r="AG22" i="17"/>
  <c r="Q23" i="17"/>
  <c r="W23" i="17"/>
  <c r="AC23" i="17"/>
  <c r="AI23" i="17"/>
  <c r="R23" i="17"/>
  <c r="X23" i="17"/>
  <c r="AD23" i="17"/>
  <c r="P23" i="17"/>
  <c r="AG23" i="17"/>
  <c r="S23" i="17"/>
  <c r="Y23" i="17"/>
  <c r="AE23" i="17"/>
  <c r="U23" i="17"/>
  <c r="T23" i="17"/>
  <c r="Z23" i="17"/>
  <c r="AF23" i="17"/>
  <c r="AA23" i="17"/>
  <c r="V23" i="17"/>
  <c r="AB23" i="17"/>
  <c r="AH23" i="17"/>
  <c r="P20" i="17"/>
  <c r="V20" i="17"/>
  <c r="AB20" i="17"/>
  <c r="AH20" i="17"/>
  <c r="AF20" i="17"/>
  <c r="U20" i="17"/>
  <c r="Q20" i="17"/>
  <c r="W20" i="17"/>
  <c r="AC20" i="17"/>
  <c r="AI20" i="17"/>
  <c r="Z20" i="17"/>
  <c r="R20" i="17"/>
  <c r="X20" i="17"/>
  <c r="AD20" i="17"/>
  <c r="AA20" i="17"/>
  <c r="S20" i="17"/>
  <c r="Y20" i="17"/>
  <c r="AE20" i="17"/>
  <c r="T20" i="17"/>
  <c r="AG20" i="17"/>
  <c r="Q19" i="17"/>
  <c r="W19" i="17"/>
  <c r="AC19" i="17"/>
  <c r="AI19" i="17"/>
  <c r="AG19" i="17"/>
  <c r="R19" i="17"/>
  <c r="X19" i="17"/>
  <c r="AD19" i="17"/>
  <c r="Z19" i="17"/>
  <c r="S19" i="17"/>
  <c r="Y19" i="17"/>
  <c r="AE19" i="17"/>
  <c r="T19" i="17"/>
  <c r="U19" i="17"/>
  <c r="V19" i="17"/>
  <c r="AB19" i="17"/>
  <c r="AH19" i="17"/>
  <c r="AF19" i="17"/>
  <c r="AA19" i="17"/>
  <c r="Q18" i="17"/>
  <c r="W18" i="17"/>
  <c r="AC18" i="17"/>
  <c r="AI18" i="17"/>
  <c r="AF18" i="17"/>
  <c r="AG18" i="17"/>
  <c r="R18" i="17"/>
  <c r="X18" i="17"/>
  <c r="AD18" i="17"/>
  <c r="P18" i="17"/>
  <c r="Z18" i="17"/>
  <c r="U18" i="17"/>
  <c r="S18" i="17"/>
  <c r="Y18" i="17"/>
  <c r="AE18" i="17"/>
  <c r="T18" i="17"/>
  <c r="AA18" i="17"/>
  <c r="V18" i="17"/>
  <c r="AB18" i="17"/>
  <c r="AH18" i="17"/>
  <c r="Q16" i="17"/>
  <c r="W16" i="17"/>
  <c r="AC16" i="17"/>
  <c r="AI16" i="17"/>
  <c r="R16" i="17"/>
  <c r="X16" i="17"/>
  <c r="AD16" i="17"/>
  <c r="P16" i="17"/>
  <c r="S16" i="17"/>
  <c r="Y16" i="17"/>
  <c r="AE16" i="17"/>
  <c r="AA16" i="17"/>
  <c r="AG16" i="17"/>
  <c r="T16" i="17"/>
  <c r="Z16" i="17"/>
  <c r="AF16" i="17"/>
  <c r="U16" i="17"/>
  <c r="V16" i="17"/>
  <c r="AB16" i="17"/>
  <c r="AH16" i="17"/>
  <c r="Q15" i="17"/>
  <c r="W15" i="17"/>
  <c r="AC15" i="17"/>
  <c r="AI15" i="17"/>
  <c r="AG15" i="17"/>
  <c r="R15" i="17"/>
  <c r="X15" i="17"/>
  <c r="AD15" i="17"/>
  <c r="P15" i="17"/>
  <c r="Z15" i="17"/>
  <c r="AA15" i="17"/>
  <c r="S15" i="17"/>
  <c r="Y15" i="17"/>
  <c r="AE15" i="17"/>
  <c r="T15" i="17"/>
  <c r="V15" i="17"/>
  <c r="AB15" i="17"/>
  <c r="AH15" i="17"/>
  <c r="AF15" i="17"/>
  <c r="U15" i="17"/>
  <c r="Q14" i="17"/>
  <c r="W14" i="17"/>
  <c r="AC14" i="17"/>
  <c r="AI14" i="17"/>
  <c r="AG14" i="17"/>
  <c r="R14" i="17"/>
  <c r="X14" i="17"/>
  <c r="AD14" i="17"/>
  <c r="P14" i="17"/>
  <c r="AF14" i="17"/>
  <c r="S14" i="17"/>
  <c r="Y14" i="17"/>
  <c r="AE14" i="17"/>
  <c r="T14" i="17"/>
  <c r="U14" i="17"/>
  <c r="V14" i="17"/>
  <c r="AB14" i="17"/>
  <c r="AH14" i="17"/>
  <c r="Z14" i="17"/>
  <c r="AA14" i="17"/>
  <c r="Q13" i="17"/>
  <c r="W13" i="17"/>
  <c r="AC13" i="17"/>
  <c r="AI13" i="17"/>
  <c r="AF13" i="17"/>
  <c r="AG13" i="17"/>
  <c r="R13" i="17"/>
  <c r="X13" i="17"/>
  <c r="AD13" i="17"/>
  <c r="P13" i="17"/>
  <c r="Z13" i="17"/>
  <c r="AA13" i="17"/>
  <c r="S13" i="17"/>
  <c r="Y13" i="17"/>
  <c r="AE13" i="17"/>
  <c r="T13" i="17"/>
  <c r="U13" i="17"/>
  <c r="V13" i="17"/>
  <c r="AB13" i="17"/>
  <c r="AH13" i="17"/>
  <c r="T11" i="17"/>
  <c r="Z11" i="17"/>
  <c r="AF11" i="17"/>
  <c r="AH11" i="17"/>
  <c r="Q11" i="17"/>
  <c r="AD11" i="17"/>
  <c r="U11" i="17"/>
  <c r="AA11" i="17"/>
  <c r="AG11" i="17"/>
  <c r="V11" i="17"/>
  <c r="AB11" i="17"/>
  <c r="W11" i="17"/>
  <c r="X11" i="17"/>
  <c r="R11" i="17"/>
  <c r="S11" i="17"/>
  <c r="Y11" i="17"/>
  <c r="AE11" i="17"/>
  <c r="AC11" i="17"/>
  <c r="AI11" i="17"/>
  <c r="P11" i="17"/>
  <c r="V12" i="17"/>
  <c r="AB12" i="17"/>
  <c r="AH12" i="17"/>
  <c r="X12" i="17"/>
  <c r="P12" i="17"/>
  <c r="AE12" i="17"/>
  <c r="T12" i="17"/>
  <c r="Q12" i="17"/>
  <c r="W12" i="17"/>
  <c r="AC12" i="17"/>
  <c r="AI12" i="17"/>
  <c r="R12" i="17"/>
  <c r="AD12" i="17"/>
  <c r="S12" i="17"/>
  <c r="AF12" i="17"/>
  <c r="U12" i="17"/>
  <c r="AA12" i="17"/>
  <c r="AG12" i="17"/>
  <c r="Y12" i="17"/>
  <c r="Z12" i="17"/>
  <c r="Q10" i="17"/>
  <c r="W10" i="17"/>
  <c r="AC10" i="17"/>
  <c r="AI10" i="17"/>
  <c r="R10" i="17"/>
  <c r="X10" i="17"/>
  <c r="AD10" i="17"/>
  <c r="P10" i="17"/>
  <c r="AA10" i="17"/>
  <c r="S10" i="17"/>
  <c r="Y10" i="17"/>
  <c r="AE10" i="17"/>
  <c r="AG10" i="17"/>
  <c r="T10" i="17"/>
  <c r="Z10" i="17"/>
  <c r="AF10" i="17"/>
  <c r="U10" i="17"/>
  <c r="V10" i="17"/>
  <c r="AB10" i="17"/>
  <c r="AH10" i="17"/>
  <c r="Q9" i="17"/>
  <c r="W9" i="17"/>
  <c r="AC9" i="17"/>
  <c r="AI9" i="17"/>
  <c r="AF9" i="17"/>
  <c r="U9" i="17"/>
  <c r="R9" i="17"/>
  <c r="X9" i="17"/>
  <c r="AD9" i="17"/>
  <c r="P9" i="17"/>
  <c r="T9" i="17"/>
  <c r="AA9" i="17"/>
  <c r="AH9" i="17"/>
  <c r="S9" i="17"/>
  <c r="Y9" i="17"/>
  <c r="AE9" i="17"/>
  <c r="Z9" i="17"/>
  <c r="AG9" i="17"/>
  <c r="AB9" i="17"/>
  <c r="V9" i="17"/>
  <c r="Q8" i="17"/>
  <c r="W8" i="17"/>
  <c r="AC8" i="17"/>
  <c r="AI8" i="17"/>
  <c r="R8" i="17"/>
  <c r="X8" i="17"/>
  <c r="AD8" i="17"/>
  <c r="P8" i="17"/>
  <c r="T8" i="17"/>
  <c r="Z8" i="17"/>
  <c r="AF8" i="17"/>
  <c r="U8" i="17"/>
  <c r="AG8" i="17"/>
  <c r="S8" i="17"/>
  <c r="Y8" i="17"/>
  <c r="AE8" i="17"/>
  <c r="AA8" i="17"/>
  <c r="V8" i="17"/>
  <c r="AB8" i="17"/>
  <c r="AH8" i="17"/>
  <c r="Q7" i="17"/>
  <c r="W7" i="17"/>
  <c r="AC7" i="17"/>
  <c r="AI7" i="17"/>
  <c r="AA7" i="17"/>
  <c r="R7" i="17"/>
  <c r="X7" i="17"/>
  <c r="AD7" i="17"/>
  <c r="P7" i="17"/>
  <c r="AG7" i="17"/>
  <c r="S7" i="17"/>
  <c r="Y7" i="17"/>
  <c r="AE7" i="17"/>
  <c r="T7" i="17"/>
  <c r="Z7" i="17"/>
  <c r="AF7" i="17"/>
  <c r="V7" i="17"/>
  <c r="AB7" i="17"/>
  <c r="AH7" i="17"/>
  <c r="U7" i="17"/>
  <c r="R57" i="17" l="1" a="1"/>
  <c r="R57" i="17" s="1"/>
  <c r="R88" i="17" s="1" a="1"/>
  <c r="R88" i="17" s="1"/>
  <c r="AF57" i="17" a="1"/>
  <c r="AF57" i="17" s="1"/>
  <c r="AF88" i="17" s="1" a="1"/>
  <c r="AF88" i="17" s="1"/>
  <c r="T57" i="17" a="1"/>
  <c r="T57" i="17" s="1"/>
  <c r="T88" i="17" s="1" a="1"/>
  <c r="T88" i="17" s="1"/>
  <c r="AH57" i="17" a="1"/>
  <c r="AH57" i="17" s="1"/>
  <c r="AH88" i="17" s="1" a="1"/>
  <c r="AH88" i="17" s="1"/>
  <c r="AE57" i="17" a="1"/>
  <c r="AE57" i="17" s="1"/>
  <c r="AE88" i="17" s="1" a="1"/>
  <c r="AE88" i="17" s="1"/>
  <c r="X57" i="17" a="1"/>
  <c r="X57" i="17" s="1"/>
  <c r="X88" i="17" s="1" a="1"/>
  <c r="X88" i="17" s="1"/>
  <c r="Q57" i="17" a="1"/>
  <c r="Q57" i="17" s="1"/>
  <c r="Q88" i="17" s="1" a="1"/>
  <c r="Q88" i="17" s="1"/>
  <c r="V57" i="17" a="1"/>
  <c r="V57" i="17" s="1"/>
  <c r="V88" i="17" s="1" a="1"/>
  <c r="V88" i="17" s="1"/>
  <c r="Y57" i="17" a="1"/>
  <c r="Y57" i="17" s="1"/>
  <c r="Y88" i="17" s="1" a="1"/>
  <c r="Y88" i="17" s="1"/>
  <c r="S57" i="17" a="1"/>
  <c r="S57" i="17" s="1"/>
  <c r="S88" i="17" s="1" a="1"/>
  <c r="S88" i="17" s="1"/>
  <c r="AG57" i="17" a="1"/>
  <c r="AG57" i="17" s="1"/>
  <c r="AG88" i="17" s="1" a="1"/>
  <c r="AG88" i="17" s="1"/>
  <c r="Z57" i="17" a="1"/>
  <c r="Z57" i="17" s="1"/>
  <c r="Z88" i="17" s="1" a="1"/>
  <c r="Z88" i="17" s="1"/>
  <c r="P57" i="17" a="1"/>
  <c r="P57" i="17" s="1"/>
  <c r="P88" i="17" s="1" a="1"/>
  <c r="P88" i="17" s="1"/>
  <c r="AC57" i="17" a="1"/>
  <c r="AC57" i="17" s="1"/>
  <c r="AC88" i="17" s="1" a="1"/>
  <c r="AC88" i="17" s="1"/>
  <c r="AB57" i="17" a="1"/>
  <c r="AB57" i="17" s="1"/>
  <c r="AB88" i="17" s="1" a="1"/>
  <c r="AB88" i="17" s="1"/>
  <c r="AA57" i="17" a="1"/>
  <c r="AA57" i="17" s="1"/>
  <c r="AA88" i="17" s="1" a="1"/>
  <c r="AA88" i="17" s="1"/>
  <c r="AI57" i="17" a="1"/>
  <c r="AI57" i="17" s="1"/>
  <c r="AI88" i="17" s="1" a="1"/>
  <c r="AI88" i="17" s="1"/>
  <c r="U57" i="17" a="1"/>
  <c r="U57" i="17" s="1"/>
  <c r="U88" i="17" s="1" a="1"/>
  <c r="U88" i="17" s="1"/>
  <c r="AD57" i="17" a="1"/>
  <c r="AD57" i="17" s="1"/>
  <c r="AD88" i="17" s="1" a="1"/>
  <c r="AD88" i="17" s="1"/>
  <c r="W57" i="17" a="1"/>
  <c r="W57" i="17" s="1"/>
  <c r="W88" i="17" s="1" a="1"/>
  <c r="W88" i="1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<sst xmlns="http://schemas.openxmlformats.org/spreadsheetml/2006/main" count="377" uniqueCount="290">
  <si>
    <t>User Input</t>
  </si>
  <si>
    <t>User Output</t>
  </si>
  <si>
    <t>Class List</t>
  </si>
  <si>
    <t>*might get syllabus</t>
  </si>
  <si>
    <t>*for future</t>
  </si>
  <si>
    <t>Current Level of Expertise</t>
  </si>
  <si>
    <t>Desired Level of Expertise</t>
  </si>
  <si>
    <t>Desired Job Field</t>
  </si>
  <si>
    <t>Skills / Domain Knowledge</t>
  </si>
  <si>
    <t>Interest</t>
  </si>
  <si>
    <t xml:space="preserve">2nd output </t>
  </si>
  <si>
    <t>Topics</t>
  </si>
  <si>
    <t>Data Visualization</t>
  </si>
  <si>
    <t>Data Analytics</t>
  </si>
  <si>
    <t>Algorithms in Engineering Applications</t>
  </si>
  <si>
    <t>Sensor Analytics</t>
  </si>
  <si>
    <t xml:space="preserve">Robotics in Manufacturing </t>
  </si>
  <si>
    <t>Data Management for Analytics</t>
  </si>
  <si>
    <t>Cyber-Manufacturing Systems</t>
  </si>
  <si>
    <t>Selected topics in Data Science</t>
  </si>
  <si>
    <t>KW 1</t>
  </si>
  <si>
    <t>Beginner &gt;&gt;</t>
  </si>
  <si>
    <t>Introduction to Data Mining Process</t>
  </si>
  <si>
    <t>Foundations of Algorithm Analysis</t>
  </si>
  <si>
    <t>Systems and components</t>
  </si>
  <si>
    <t>Database and Schema Design</t>
  </si>
  <si>
    <t>Basic Modeling Concepts</t>
  </si>
  <si>
    <t>Introduction to Data Visualization</t>
  </si>
  <si>
    <t>Probability</t>
  </si>
  <si>
    <t>KW 2</t>
  </si>
  <si>
    <t>Dimension Reduction</t>
  </si>
  <si>
    <t>Graphs and Graph Algorithms</t>
  </si>
  <si>
    <t xml:space="preserve">Sensor Signal Processing </t>
  </si>
  <si>
    <t>Current practices in R&amp;A for manufacturing</t>
  </si>
  <si>
    <t>Query Processing and Optimization</t>
  </si>
  <si>
    <t>Architectures (Design)</t>
  </si>
  <si>
    <t>Visualization Workflow</t>
  </si>
  <si>
    <t>Machine learning Basics 1</t>
  </si>
  <si>
    <t xml:space="preserve">KW 3 </t>
  </si>
  <si>
    <t>Evaluating Predictive Performance</t>
  </si>
  <si>
    <t>Greedy Algorithms</t>
  </si>
  <si>
    <t>Parts Handling and Bin Picking</t>
  </si>
  <si>
    <t>Object-Relational Databases, OLAP, SQL</t>
  </si>
  <si>
    <t>Sensors and Sensor Networks</t>
  </si>
  <si>
    <t>Data Representation for Visualization</t>
  </si>
  <si>
    <t>Machine Learning Basics 2</t>
  </si>
  <si>
    <t>KW 4</t>
  </si>
  <si>
    <t>Multiple Linear Regression</t>
  </si>
  <si>
    <t>Dynamic Programming Algorithms</t>
  </si>
  <si>
    <t>Feature Extraction &amp; Dimension Reduction</t>
  </si>
  <si>
    <t>Palletizing</t>
  </si>
  <si>
    <t>XML Databases</t>
  </si>
  <si>
    <t>Communication Protocols</t>
  </si>
  <si>
    <t>Interactivity in Visualization</t>
  </si>
  <si>
    <t>Linear programming</t>
  </si>
  <si>
    <t>Automation</t>
  </si>
  <si>
    <t>Cyber</t>
  </si>
  <si>
    <t>Sensor</t>
  </si>
  <si>
    <t>KW5</t>
  </si>
  <si>
    <t>Network Flow Algorithms</t>
  </si>
  <si>
    <t>Regression and Correlation</t>
  </si>
  <si>
    <t>Cutting, grinding and dispensing</t>
  </si>
  <si>
    <t>NoSQL Databases</t>
  </si>
  <si>
    <t>Cyber-Secured IoT</t>
  </si>
  <si>
    <t>Annotation and Color for Visualization</t>
  </si>
  <si>
    <t>Mathematical Optimization</t>
  </si>
  <si>
    <t>Data Analysts</t>
  </si>
  <si>
    <t>Manufacturing Engineers</t>
  </si>
  <si>
    <t>Software Engineers</t>
  </si>
  <si>
    <t>KW6</t>
  </si>
  <si>
    <t>Collaborative Robots</t>
  </si>
  <si>
    <t>Networking and Communications</t>
  </si>
  <si>
    <t>Composition in Visualization</t>
  </si>
  <si>
    <t>Python 1</t>
  </si>
  <si>
    <t>Data Scientists</t>
  </si>
  <si>
    <t>Mechanical Engineers</t>
  </si>
  <si>
    <t>Systems Engineers</t>
  </si>
  <si>
    <t>KW7</t>
  </si>
  <si>
    <t>Automated Ground Vehicles</t>
  </si>
  <si>
    <t>Network Visualization</t>
  </si>
  <si>
    <t>Python 2</t>
  </si>
  <si>
    <t>Data Engineers</t>
  </si>
  <si>
    <t>Electrical Engineers</t>
  </si>
  <si>
    <t>KW8</t>
  </si>
  <si>
    <t>Efficiency, Safety and Productivity</t>
  </si>
  <si>
    <t>Text Visualization</t>
  </si>
  <si>
    <t>Python 3</t>
  </si>
  <si>
    <t>Database Administrators</t>
  </si>
  <si>
    <t>Cloud Security Architects</t>
  </si>
  <si>
    <t>Algorithm Engineers</t>
  </si>
  <si>
    <t>KW9</t>
  </si>
  <si>
    <t>Deep Learning 1</t>
  </si>
  <si>
    <t>Big Data Engineers</t>
  </si>
  <si>
    <t>Automation Controls Engineers</t>
  </si>
  <si>
    <t>Hardware Engineers</t>
  </si>
  <si>
    <t>KW10</t>
  </si>
  <si>
    <t>Advanced &gt;&gt;</t>
  </si>
  <si>
    <t>k-Nearest Neighbors</t>
  </si>
  <si>
    <t>Interactability</t>
  </si>
  <si>
    <t>Programmable LC</t>
  </si>
  <si>
    <t>Big Data</t>
  </si>
  <si>
    <t>Supervisory Control and Data Acquisition (SCADA)</t>
  </si>
  <si>
    <t>Visualization Application of R and Python</t>
  </si>
  <si>
    <t>Deep Learning 2</t>
  </si>
  <si>
    <t>Data Architects</t>
  </si>
  <si>
    <t>Cybersecurity Analysts</t>
  </si>
  <si>
    <t>Embedded Software Engineers</t>
  </si>
  <si>
    <t>KW11</t>
  </si>
  <si>
    <t>Naïve Bayes Classifier</t>
  </si>
  <si>
    <t>Metaheuristic Algorithms</t>
  </si>
  <si>
    <t>Mechatronic</t>
  </si>
  <si>
    <t>Data Integration, Quality, and Governance</t>
  </si>
  <si>
    <t>MTConnect, AutomationML, and OPC-UA</t>
  </si>
  <si>
    <t>Application of Tableau</t>
  </si>
  <si>
    <t>Deep Learning 3</t>
  </si>
  <si>
    <t>Data Visualization Engineers</t>
  </si>
  <si>
    <t>Information Systems Security Officers</t>
  </si>
  <si>
    <t>Digital Design Engineers</t>
  </si>
  <si>
    <t>KW12</t>
  </si>
  <si>
    <t>Classification and Regression Trees</t>
  </si>
  <si>
    <t>Sensor Fusion for Inferencing and Prediction</t>
  </si>
  <si>
    <t>Database in Mfg. IT Sys. (ERP, MES, CMMS)</t>
  </si>
  <si>
    <t>Data Visualization 1</t>
  </si>
  <si>
    <t>Data Science Engineers</t>
  </si>
  <si>
    <t>Test Engineers</t>
  </si>
  <si>
    <t>Cybersecurity Architects</t>
  </si>
  <si>
    <t>Electronics Technicians</t>
  </si>
  <si>
    <t>KW13</t>
  </si>
  <si>
    <t>Logistic Regression</t>
  </si>
  <si>
    <t>Data Visualization 2</t>
  </si>
  <si>
    <t>Machine Learning Engineers</t>
  </si>
  <si>
    <t>Controls Engineers</t>
  </si>
  <si>
    <t>Network Engineers</t>
  </si>
  <si>
    <t>Signal Processing Engineers</t>
  </si>
  <si>
    <t>KW14</t>
  </si>
  <si>
    <t>Neural Networks</t>
  </si>
  <si>
    <t>Data Visualization 3</t>
  </si>
  <si>
    <t>Business Analysts</t>
  </si>
  <si>
    <t>Project Engineers</t>
  </si>
  <si>
    <t>Solutions Architects</t>
  </si>
  <si>
    <t>KW15</t>
  </si>
  <si>
    <t>Discriminant Analysis</t>
  </si>
  <si>
    <t xml:space="preserve">Introduction to Reinforce Learning </t>
  </si>
  <si>
    <t>Maintenance Technicians</t>
  </si>
  <si>
    <t>Cybersecurity Systems Engineers</t>
  </si>
  <si>
    <t>Firmware Engineers</t>
  </si>
  <si>
    <t>KW16</t>
  </si>
  <si>
    <t>Association Rules &amp; Collaborative Filtering</t>
  </si>
  <si>
    <t>Security Counselors</t>
  </si>
  <si>
    <t>Radar Systems Engineers</t>
  </si>
  <si>
    <t>KW17</t>
  </si>
  <si>
    <t>Cluster Analysis</t>
  </si>
  <si>
    <t>Project Managers</t>
  </si>
  <si>
    <t>Cyber Engineers</t>
  </si>
  <si>
    <t>Computer Scientists</t>
  </si>
  <si>
    <t>KW18</t>
  </si>
  <si>
    <t>Machine Operators</t>
  </si>
  <si>
    <t>Cloud Engineers</t>
  </si>
  <si>
    <t>Research Scientists</t>
  </si>
  <si>
    <t>KW19</t>
  </si>
  <si>
    <t>Software Test Engineers</t>
  </si>
  <si>
    <t>Cloud Security Engineers</t>
  </si>
  <si>
    <t>KW20</t>
  </si>
  <si>
    <t>Software Quality Engineers</t>
  </si>
  <si>
    <t>Systems Administrators</t>
  </si>
  <si>
    <t>Cloud DevOps Engineers</t>
  </si>
  <si>
    <t>Quality Engineers</t>
  </si>
  <si>
    <t>Cybersecurity Specialists</t>
  </si>
  <si>
    <t>Automation Technicians</t>
  </si>
  <si>
    <t>Cyber Systems Engineers</t>
  </si>
  <si>
    <t>Quality Assurance Automation Engineers</t>
  </si>
  <si>
    <t>Cloud Architects</t>
  </si>
  <si>
    <t>DevOps Engineers</t>
  </si>
  <si>
    <t>Cloud Software Engineers</t>
  </si>
  <si>
    <t>Manufacturing Technicians</t>
  </si>
  <si>
    <t>Controls Technicians</t>
  </si>
  <si>
    <t>Automation Engineers</t>
  </si>
  <si>
    <t>Building Automation Specialists</t>
  </si>
  <si>
    <t>Application Engineers</t>
  </si>
  <si>
    <t>Process Engineers</t>
  </si>
  <si>
    <t>Software Developers</t>
  </si>
  <si>
    <t>Building Automation Technicians</t>
  </si>
  <si>
    <t>Quality Assurance Engineers</t>
  </si>
  <si>
    <t>Job Title &amp; Topic - Skill Matrix</t>
  </si>
  <si>
    <t>LDA - Generated Topics</t>
  </si>
  <si>
    <t>Job Fields</t>
  </si>
  <si>
    <t>#</t>
  </si>
  <si>
    <t>Skill / Domain Knowledge</t>
  </si>
  <si>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</si>
  <si>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</si>
  <si>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</si>
  <si>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</si>
  <si>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</si>
  <si>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</si>
  <si>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</si>
  <si>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</si>
  <si>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</si>
  <si>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</si>
  <si>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</si>
  <si>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</si>
  <si>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</si>
  <si>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</si>
  <si>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</si>
  <si>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</si>
  <si>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</si>
  <si>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</si>
  <si>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</si>
  <si>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</si>
  <si>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Robotics in Mfg</t>
  </si>
  <si>
    <t>Data Mgmt</t>
  </si>
  <si>
    <t>Cyber-Mfg Systems</t>
  </si>
  <si>
    <t>Data  Science</t>
  </si>
  <si>
    <t>Machine Learning</t>
  </si>
  <si>
    <t>Statistics</t>
  </si>
  <si>
    <t>Algorithms</t>
  </si>
  <si>
    <t>Data Engineering</t>
  </si>
  <si>
    <t>Data Modeling</t>
  </si>
  <si>
    <t>Data Warehousing</t>
  </si>
  <si>
    <t>Database Administration</t>
  </si>
  <si>
    <t>Data Mining</t>
  </si>
  <si>
    <t>Data Architecture</t>
  </si>
  <si>
    <t>Artificial Intelligence</t>
  </si>
  <si>
    <t>Data Management</t>
  </si>
  <si>
    <t>Operations Research</t>
  </si>
  <si>
    <t>Deep Learning</t>
  </si>
  <si>
    <t>Data Quality</t>
  </si>
  <si>
    <t>Lean Manufacturing</t>
  </si>
  <si>
    <t>Machine Operation</t>
  </si>
  <si>
    <t>Continuous Improvement Process</t>
  </si>
  <si>
    <t>Process Engineering</t>
  </si>
  <si>
    <t>Programmable Logic Controllers</t>
  </si>
  <si>
    <t>Six Sigma Methodology</t>
  </si>
  <si>
    <t>Root Cause Analysis</t>
  </si>
  <si>
    <t>Statistical Process Control</t>
  </si>
  <si>
    <t>Preventative Maintenance</t>
  </si>
  <si>
    <t>Control Systems</t>
  </si>
  <si>
    <t>Test Planning</t>
  </si>
  <si>
    <t>Quality Management</t>
  </si>
  <si>
    <t>Computer-Aided Design</t>
  </si>
  <si>
    <t>Cyber Security</t>
  </si>
  <si>
    <t>Firewall</t>
  </si>
  <si>
    <t>Software Development Life Cycle</t>
  </si>
  <si>
    <t>Network Engineering</t>
  </si>
  <si>
    <t>Cloud Computing</t>
  </si>
  <si>
    <t>Virtualization</t>
  </si>
  <si>
    <t>.NET Framework</t>
  </si>
  <si>
    <t>TCP/IP</t>
  </si>
  <si>
    <t>Cyber Engineering</t>
  </si>
  <si>
    <t>Electronics</t>
  </si>
  <si>
    <t>Simulations</t>
  </si>
  <si>
    <t>Signal Processing</t>
  </si>
  <si>
    <t>Hardware Architecture</t>
  </si>
  <si>
    <t>Test Equipment</t>
  </si>
  <si>
    <t>Radio Frequency</t>
  </si>
  <si>
    <t>Logic Analyzer</t>
  </si>
  <si>
    <t>Systems Integration</t>
  </si>
  <si>
    <t>Device Drivers</t>
  </si>
  <si>
    <t>Signal Generation</t>
  </si>
  <si>
    <t>Topic-Module Matrix</t>
  </si>
  <si>
    <t>Module Name</t>
  </si>
  <si>
    <t>Overview of the Data Mining Process</t>
  </si>
  <si>
    <t>Basic Data Visualization</t>
  </si>
  <si>
    <t>Advanced Data Visualization</t>
  </si>
  <si>
    <t>Measures and Metrics for Performance Evaluation</t>
  </si>
  <si>
    <t>Predictive and Classification Performance Evaluation Methods</t>
  </si>
  <si>
    <t xml:space="preserve">The Naive Bayes Classifier </t>
  </si>
  <si>
    <t>Classification Trees</t>
  </si>
  <si>
    <t>Advanced Topics In Classification and Regression Trees</t>
  </si>
  <si>
    <t>Neural Nets</t>
  </si>
  <si>
    <t>Advanced Concepts of Neural Nets</t>
  </si>
  <si>
    <t>Association Rules and Collaborative Filtering</t>
  </si>
  <si>
    <t>Foundations</t>
  </si>
  <si>
    <t>Graph</t>
  </si>
  <si>
    <t>Greedy algorithm</t>
  </si>
  <si>
    <t>Dynamic programming</t>
  </si>
  <si>
    <t>Network Flow</t>
  </si>
  <si>
    <t>Computational Intractability</t>
  </si>
  <si>
    <t>Metaheuristic Algorithm</t>
  </si>
  <si>
    <t>Correlation Value</t>
  </si>
  <si>
    <t>Recommendation System</t>
  </si>
  <si>
    <t>Example Jobs in specified Job Field</t>
  </si>
  <si>
    <t>&gt; &gt;</t>
  </si>
  <si>
    <t>Skills or Domains</t>
  </si>
  <si>
    <t>Threshold</t>
  </si>
  <si>
    <t>Time Series Analysis</t>
  </si>
  <si>
    <t>Classification Methods with Application in Fault Diagnosis</t>
  </si>
  <si>
    <t>Clustering Methods with Applications in Process Monitoring</t>
  </si>
  <si>
    <t>Measurement Systems, I/O, Physical Principles of Sensors</t>
  </si>
  <si>
    <t>Sensor Signal Processing</t>
  </si>
  <si>
    <t>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</si>
</sst>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;"/>
    <numFmt numFmtId="165" formatCode="0.000"/>
  </numFmts>
  <fonts count="2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2E2E2E"/>
      <name val="Georgia"/>
      <family val="1"/>
    </font>
    <font>
      <sz val="11"/>
      <color rgb="FF2E2E2E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4"/>
      <color theme="5" tint="0.3999755851924192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D9D9D9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1" fillId="0" borderId="0" applyFon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3" borderId="1" xfId="0" applyFill="1" applyBorder="1"/>
    <xf numFmtId="0" fontId="9" fillId="0" borderId="0" xfId="0" applyFont="1" applyAlignment="1">
      <alignment horizontal="center" vertical="center" wrapText="1"/>
    </xf>
    <xf numFmtId="0" fontId="11" fillId="5" borderId="0" xfId="0" applyFont="1" applyFill="1" applyAlignment="1">
      <alignment horizontal="centerContinuous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2" fillId="0" borderId="0" xfId="0" applyFont="1"/>
    <xf numFmtId="0" fontId="13" fillId="5" borderId="0" xfId="0" applyFont="1" applyFill="1" applyAlignment="1">
      <alignment horizontal="centerContinuous"/>
    </xf>
    <xf numFmtId="0" fontId="10" fillId="0" borderId="0" xfId="0" applyFont="1" applyAlignment="1">
      <alignment horizontal="center" vertical="center" wrapText="1"/>
    </xf>
    <xf numFmtId="0" fontId="10" fillId="5" borderId="0" xfId="0" applyFont="1" applyFill="1" applyAlignment="1">
      <alignment horizontal="centerContinuous" vertical="center" wrapText="1"/>
    </xf>
    <xf numFmtId="0" fontId="3" fillId="0" borderId="0" xfId="0" applyFont="1" applyAlignment="1">
      <alignment horizontal="center" vertical="center"/>
    </xf>
    <xf numFmtId="0" fontId="14" fillId="5" borderId="0" xfId="0" applyFont="1" applyFill="1" applyAlignment="1">
      <alignment horizontal="centerContinuous" vertical="center" wrapText="1"/>
    </xf>
    <xf numFmtId="0" fontId="7" fillId="2" borderId="0" xfId="0" applyFont="1" applyFill="1" applyAlignment="1">
      <alignment horizontal="center" vertical="center" wrapText="1"/>
    </xf>
    <xf numFmtId="0" fontId="11" fillId="0" borderId="0" xfId="0" applyFont="1"/>
    <xf numFmtId="0" fontId="0" fillId="8" borderId="1" xfId="0" applyFill="1" applyBorder="1"/>
    <xf numFmtId="0" fontId="11" fillId="5" borderId="0" xfId="0" applyFont="1" applyFill="1" applyAlignment="1">
      <alignment horizontal="centerContinuous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1" fillId="12" borderId="2" xfId="0" applyFont="1" applyFill="1" applyBorder="1" applyAlignment="1">
      <alignment horizontal="centerContinuous"/>
    </xf>
    <xf numFmtId="0" fontId="0" fillId="14" borderId="1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16" fillId="0" borderId="0" xfId="0" applyFont="1"/>
    <xf numFmtId="0" fontId="18" fillId="0" borderId="0" xfId="0" applyFont="1"/>
    <xf numFmtId="0" fontId="1" fillId="12" borderId="0" xfId="0" applyFont="1" applyFill="1" applyAlignment="1">
      <alignment horizontal="centerContinuous"/>
    </xf>
    <xf numFmtId="0" fontId="15" fillId="12" borderId="0" xfId="0" applyFont="1" applyFill="1" applyAlignment="1">
      <alignment horizontal="centerContinuous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14" borderId="1" xfId="0" applyFont="1" applyFill="1" applyBorder="1" applyAlignment="1">
      <alignment textRotation="135"/>
    </xf>
    <xf numFmtId="0" fontId="16" fillId="14" borderId="1" xfId="0" applyFont="1" applyFill="1" applyBorder="1" applyAlignment="1">
      <alignment horizontal="right" textRotation="135"/>
    </xf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right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15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horizontal="left" vertical="top" wrapText="1"/>
    </xf>
    <xf numFmtId="0" fontId="11" fillId="0" borderId="2" xfId="0" applyFont="1" applyBorder="1"/>
    <xf numFmtId="0" fontId="6" fillId="13" borderId="3" xfId="0" applyFont="1" applyFill="1" applyBorder="1" applyAlignment="1">
      <alignment horizontal="center" vertical="center" textRotation="137" wrapText="1"/>
    </xf>
    <xf numFmtId="0" fontId="6" fillId="6" borderId="3" xfId="0" applyFont="1" applyFill="1" applyBorder="1" applyAlignment="1">
      <alignment horizontal="center" vertical="center" textRotation="137" wrapText="1"/>
    </xf>
    <xf numFmtId="0" fontId="6" fillId="4" borderId="3" xfId="0" applyFont="1" applyFill="1" applyBorder="1" applyAlignment="1">
      <alignment horizontal="center" vertical="center" textRotation="137" wrapText="1"/>
    </xf>
    <xf numFmtId="0" fontId="6" fillId="9" borderId="3" xfId="0" applyFont="1" applyFill="1" applyBorder="1" applyAlignment="1">
      <alignment horizontal="center" vertical="center" textRotation="137" wrapText="1"/>
    </xf>
    <xf numFmtId="0" fontId="6" fillId="10" borderId="3" xfId="0" applyFont="1" applyFill="1" applyBorder="1" applyAlignment="1">
      <alignment horizontal="center" vertical="center" textRotation="137" wrapText="1"/>
    </xf>
    <xf numFmtId="0" fontId="11" fillId="17" borderId="2" xfId="0" applyFont="1" applyFill="1" applyBorder="1" applyAlignment="1">
      <alignment horizontal="centerContinuous"/>
    </xf>
    <xf numFmtId="0" fontId="11" fillId="17" borderId="0" xfId="0" applyFont="1" applyFill="1" applyAlignment="1">
      <alignment horizontal="centerContinuous"/>
    </xf>
    <xf numFmtId="0" fontId="19" fillId="0" borderId="0" xfId="0" applyFont="1" applyAlignment="1">
      <alignment horizontal="left" vertical="center" wrapText="1"/>
    </xf>
    <xf numFmtId="0" fontId="17" fillId="0" borderId="0" xfId="0" applyFont="1" applyAlignment="1">
      <alignment horizontal="center" vertical="top"/>
    </xf>
    <xf numFmtId="0" fontId="10" fillId="0" borderId="0" xfId="0" applyFont="1" applyAlignment="1">
      <alignment horizontal="centerContinuous" vertical="center"/>
    </xf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Continuous"/>
    </xf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9" fontId="0" fillId="0" borderId="0" xfId="1" applyFont="1"/>
    <xf numFmtId="1" fontId="0" fillId="7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8" borderId="1" xfId="0" applyNumberFormat="1" applyFill="1" applyBorder="1" applyAlignment="1">
      <alignment horizontal="center" vertical="center"/>
    </xf>
    <xf numFmtId="1" fontId="0" fillId="11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7" fillId="0" borderId="0" xfId="0" applyFont="1" applyFill="1" applyAlignment="1">
      <alignment horizontal="center" vertical="center" wrapText="1"/>
    </xf>
    <xf numFmtId="0" fontId="0" fillId="0" borderId="0" xfId="0" applyFill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7" fillId="0" borderId="1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8" borderId="0" xfId="0" applyFill="1" applyBorder="1"/>
    <xf numFmtId="0" fontId="0" fillId="0" borderId="0" xfId="0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22" fillId="0" borderId="0" xfId="0" applyFont="1"/>
    <xf numFmtId="0" fontId="22" fillId="0" borderId="0" xfId="0" applyFont="1" applyAlignment="1">
      <alignment horizontal="left" vertical="top" wrapText="1"/>
    </xf>
    <xf numFmtId="0" fontId="22" fillId="0" borderId="0" xfId="0" applyFont="1" applyAlignment="1">
      <alignment vertical="top"/>
    </xf>
    <xf numFmtId="0" fontId="22" fillId="0" borderId="7" xfId="0" applyFont="1" applyBorder="1" applyAlignment="1">
      <alignment horizontal="left" vertical="top" wrapText="1"/>
    </xf>
    <xf numFmtId="2" fontId="0" fillId="0" borderId="0" xfId="0" applyNumberFormat="1" applyAlignment="1">
      <alignment horizontal="center"/>
    </xf>
    <xf numFmtId="9" fontId="15" fillId="0" borderId="0" xfId="0" applyNumberFormat="1" applyFont="1" applyFill="1" applyAlignment="1">
      <alignment horizontal="center" vertical="center"/>
    </xf>
    <xf numFmtId="0" fontId="24" fillId="0" borderId="6" xfId="0" applyFont="1" applyBorder="1" applyAlignment="1">
      <alignment horizontal="center"/>
    </xf>
    <xf numFmtId="165" fontId="18" fillId="0" borderId="1" xfId="0" applyNumberFormat="1" applyFont="1" applyBorder="1"/>
    <xf numFmtId="165" fontId="18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Continuous"/>
    </xf>
    <xf numFmtId="0" fontId="17" fillId="0" borderId="1" xfId="0" applyFont="1" applyBorder="1" applyAlignment="1">
      <alignment horizontal="centerContinuous"/>
    </xf>
    <xf numFmtId="9" fontId="9" fillId="3" borderId="1" xfId="1" applyFont="1" applyFill="1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23" fillId="16" borderId="0" xfId="0" applyFont="1" applyFill="1" applyAlignment="1">
      <alignment horizontal="center" vertical="distributed"/>
    </xf>
    <xf numFmtId="0" fontId="22" fillId="0" borderId="0" xfId="0" applyFont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67">
    <dxf>
      <font>
        <color rgb="FF006100"/>
      </font>
      <fill>
        <patternFill>
          <bgColor rgb="FFC6EFCE"/>
        </patternFill>
      </fill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color rgb="FF0070C0"/>
      </font>
    </dxf>
    <dxf>
      <font>
        <b/>
        <i val="0"/>
        <color theme="4"/>
      </font>
    </dxf>
    <dxf>
      <font>
        <b/>
        <i val="0"/>
        <color theme="4"/>
      </font>
    </dxf>
    <dxf>
      <fill>
        <patternFill>
          <bgColor rgb="FF00B050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b/>
        <i val="0"/>
        <color theme="4"/>
      </font>
    </dxf>
    <dxf>
      <fill>
        <patternFill>
          <bgColor rgb="FF00B050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ill>
        <patternFill>
          <bgColor rgb="FF00B050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b/>
        <i val="0"/>
        <color theme="4"/>
      </font>
    </dxf>
    <dxf>
      <font>
        <b/>
        <i val="0"/>
        <color theme="4"/>
      </font>
    </dxf>
    <dxf>
      <font>
        <b/>
        <i val="0"/>
        <color theme="4"/>
      </font>
    </dxf>
    <dxf>
      <fill>
        <patternFill>
          <bgColor rgb="FF00B050"/>
        </patternFill>
      </fill>
    </dxf>
    <dxf>
      <font>
        <b/>
        <i val="0"/>
        <color theme="4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/>
        <i val="0"/>
        <color theme="4"/>
      </font>
    </dxf>
    <dxf>
      <font>
        <b/>
        <i val="0"/>
        <color theme="4"/>
      </font>
    </dxf>
    <dxf>
      <font>
        <b/>
        <i val="0"/>
        <color theme="4"/>
      </font>
    </dxf>
    <dxf>
      <font>
        <b/>
        <i val="0"/>
        <color theme="4"/>
      </font>
    </dxf>
    <dxf>
      <font>
        <b/>
        <i val="0"/>
        <color theme="4"/>
      </font>
    </dxf>
    <dxf>
      <font>
        <b/>
        <i val="0"/>
        <color theme="4"/>
      </font>
    </dxf>
    <dxf>
      <font>
        <b/>
        <i val="0"/>
        <color theme="4"/>
      </font>
    </dxf>
    <dxf>
      <font>
        <b/>
        <i val="0"/>
        <color theme="4"/>
      </font>
    </dxf>
    <dxf>
      <font>
        <b/>
        <i val="0"/>
        <color theme="4"/>
      </font>
    </dxf>
    <dxf>
      <font>
        <b/>
        <i val="0"/>
        <color theme="4"/>
      </font>
    </dxf>
    <dxf>
      <font>
        <b/>
        <i val="0"/>
        <color theme="4"/>
      </font>
      <fill>
        <patternFill patternType="none"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CheckBox" checked="Checked" fmlaLink="$I$7" lockText="1" noThreeD="1"/>
</file>

<file path=xl/ctrlProps/ctrlProp2.xml><?xml version="1.0" encoding="utf-8"?>
<formControlPr xmlns="http://schemas.microsoft.com/office/spreadsheetml/2009/9/main" objectType="CheckBox" checked="Checked" fmlaLink="$I$8" lockText="1" noThreeD="1"/>
</file>

<file path=xl/ctrlProps/ctrlProp3.xml><?xml version="1.0" encoding="utf-8"?>
<formControlPr xmlns="http://schemas.microsoft.com/office/spreadsheetml/2009/9/main" objectType="CheckBox" checked="Checked" fmlaLink="$I$9" lockText="1" noThreeD="1"/>
</file>

<file path=xl/ctrlProps/ctrlProp4.xml><?xml version="1.0" encoding="utf-8"?>
<formControlPr xmlns="http://schemas.microsoft.com/office/spreadsheetml/2009/9/main" objectType="CheckBox" checked="Checked" fmlaLink="$I$11" lockText="1" noThreeD="1"/>
</file>

<file path=xl/ctrlProps/ctrlProp5.xml><?xml version="1.0" encoding="utf-8"?>
<formControlPr xmlns="http://schemas.microsoft.com/office/spreadsheetml/2009/9/main" objectType="CheckBox" checked="Checked" fmlaLink="$I$12" lockText="1" noThreeD="1"/>
</file>

<file path=xl/ctrlProps/ctrlProp6.xml><?xml version="1.0" encoding="utf-8"?>
<formControlPr xmlns="http://schemas.microsoft.com/office/spreadsheetml/2009/9/main" objectType="CheckBox" checked="Checked" fmlaLink="$I$13" lockText="1" noThreeD="1"/>
</file>

<file path=xl/ctrlProps/ctrlProp7.xml><?xml version="1.0" encoding="utf-8"?>
<formControlPr xmlns="http://schemas.microsoft.com/office/spreadsheetml/2009/9/main" objectType="CheckBox" checked="Checked" fmlaLink="$I$14" lockText="1" noThreeD="1"/>
</file>

<file path=xl/ctrlProps/ctrlProp8.xml><?xml version="1.0" encoding="utf-8"?>
<formControlPr xmlns="http://schemas.microsoft.com/office/spreadsheetml/2009/9/main" objectType="CheckBox" checked="Checked" fmlaLink="$I$10" lockText="1" noThreeD="1"/>
</file>

<file path=xl/ctrlProps/ctrlProp9.xml><?xml version="1.0" encoding="utf-8"?>
<formControlPr xmlns="http://schemas.microsoft.com/office/spreadsheetml/2009/9/main" objectType="CheckBox" checked="Checked" fmlaLink="$I$15" lockText="1" noThreeD="1"/>
</file>

<file path=xl/ctrlProps/ctrlProp10.xml><?xml version="1.0" encoding="utf-8"?>
<formControlPr xmlns="http://schemas.microsoft.com/office/spreadsheetml/2009/9/main" objectType="CheckBox" checked="Checked" fmlaLink="$I$16" lockText="1" noThreeD="1"/>
</file>

<file path=xl/ctrlProps/ctrlProp11.xml><?xml version="1.0" encoding="utf-8"?>
<formControlPr xmlns="http://schemas.microsoft.com/office/spreadsheetml/2009/9/main" objectType="CheckBox" checked="Checked" fmlaLink="$I$17" lockText="1" noThreeD="1"/>
</file>

<file path=xl/ctrlProps/ctrlProp12.xml><?xml version="1.0" encoding="utf-8"?>
<formControlPr xmlns="http://schemas.microsoft.com/office/spreadsheetml/2009/9/main" objectType="CheckBox" checked="Checked" fmlaLink="$I$18" lockText="1" noThreeD="1"/>
</file>

<file path=xl/ctrlProps/ctrlProp13.xml><?xml version="1.0" encoding="utf-8"?>
<formControlPr xmlns="http://schemas.microsoft.com/office/spreadsheetml/2009/9/main" objectType="CheckBox" checked="Checked" fmlaLink="$I$19" lockText="1" noThreeD="1"/>
</file>

<file path=xl/ctrlProps/ctrlProp14.xml><?xml version="1.0" encoding="utf-8"?>
<formControlPr xmlns="http://schemas.microsoft.com/office/spreadsheetml/2009/9/main" objectType="CheckBox" checked="Checked" fmlaLink="$I$21" lockText="1" noThreeD="1"/>
</file>

<file path=xl/ctrlProps/ctrlProp15.xml><?xml version="1.0" encoding="utf-8"?>
<formControlPr xmlns="http://schemas.microsoft.com/office/spreadsheetml/2009/9/main" objectType="CheckBox" checked="Checked" fmlaLink="$I$22" lockText="1" noThreeD="1"/>
</file>

<file path=xl/ctrlProps/ctrlProp16.xml><?xml version="1.0" encoding="utf-8"?>
<formControlPr xmlns="http://schemas.microsoft.com/office/spreadsheetml/2009/9/main" objectType="CheckBox" checked="Checked" fmlaLink="$I$20" lockText="1" noThreeD="1"/>
</file>

<file path=xl/ctrlProps/ctrlProp17.xml><?xml version="1.0" encoding="utf-8"?>
<formControlPr xmlns="http://schemas.microsoft.com/office/spreadsheetml/2009/9/main" objectType="CheckBox" checked="Checked" fmlaLink="$I$23" lockText="1" noThreeD="1"/>
</file>

<file path=xl/ctrlProps/ctrlProp18.xml><?xml version="1.0" encoding="utf-8"?>
<formControlPr xmlns="http://schemas.microsoft.com/office/spreadsheetml/2009/9/main" objectType="CheckBox" fmlaLink="$I$24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180100</xdr:colOff>
      <xdr:row>3</xdr:row>
      <xdr:rowOff>171451</xdr:rowOff>
    </xdr:from>
    <xdr:to>
      <xdr:col>9</xdr:col>
      <xdr:colOff>666750</xdr:colOff>
      <xdr:row>24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0100" y="819151"/>
          <a:ext cx="13259675" cy="4410074"/>
        </a:xfrm>
        <a:prstGeom prst="roundRect">
          <a:avLst/>
        </a:pr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292100</xdr:colOff>
          <xdr:row>5</xdr:row>
          <xdr:rowOff>393700</xdr:rowOff>
        </xdr:from>
        <xdr:to>
          <xdr:col>8</xdr:col>
          <xdr:colOff>501650</xdr:colOff>
          <xdr:row>7</xdr:row>
          <xdr:rowOff>69850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0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298450</xdr:colOff>
          <xdr:row>7</xdr:row>
          <xdr:rowOff>0</xdr:rowOff>
        </xdr:from>
        <xdr:to>
          <xdr:col>8</xdr:col>
          <xdr:colOff>527050</xdr:colOff>
          <xdr:row>8</xdr:row>
          <xdr:rowOff>0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0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298450</xdr:colOff>
          <xdr:row>7</xdr:row>
          <xdr:rowOff>184150</xdr:rowOff>
        </xdr:from>
        <xdr:to>
          <xdr:col>8</xdr:col>
          <xdr:colOff>501650</xdr:colOff>
          <xdr:row>9</xdr:row>
          <xdr:rowOff>38100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0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298450</xdr:colOff>
          <xdr:row>9</xdr:row>
          <xdr:rowOff>184150</xdr:rowOff>
        </xdr:from>
        <xdr:to>
          <xdr:col>8</xdr:col>
          <xdr:colOff>501650</xdr:colOff>
          <xdr:row>10</xdr:row>
          <xdr:rowOff>177800</xdr:rowOff>
        </xdr:to>
        <xdr:sp macro="" textlink="">
          <xdr:nvSpPr>
            <xdr:cNvPr id="13317" name="Check Box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00000000-0008-0000-0000-00000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298450</xdr:colOff>
          <xdr:row>10</xdr:row>
          <xdr:rowOff>184150</xdr:rowOff>
        </xdr:from>
        <xdr:to>
          <xdr:col>8</xdr:col>
          <xdr:colOff>501650</xdr:colOff>
          <xdr:row>11</xdr:row>
          <xdr:rowOff>177800</xdr:rowOff>
        </xdr:to>
        <xdr:sp macro="" textlink="">
          <xdr:nvSpPr>
            <xdr:cNvPr id="13318" name="Check Box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00000000-0008-0000-0000-00000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298450</xdr:colOff>
          <xdr:row>11</xdr:row>
          <xdr:rowOff>184150</xdr:rowOff>
        </xdr:from>
        <xdr:to>
          <xdr:col>8</xdr:col>
          <xdr:colOff>527050</xdr:colOff>
          <xdr:row>13</xdr:row>
          <xdr:rowOff>6350</xdr:rowOff>
        </xdr:to>
        <xdr:sp macro="" textlink="">
          <xdr:nvSpPr>
            <xdr:cNvPr id="13319" name="Check Box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00000000-0008-0000-0000-00000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304800</xdr:colOff>
          <xdr:row>12</xdr:row>
          <xdr:rowOff>184150</xdr:rowOff>
        </xdr:from>
        <xdr:to>
          <xdr:col>8</xdr:col>
          <xdr:colOff>533400</xdr:colOff>
          <xdr:row>13</xdr:row>
          <xdr:rowOff>177800</xdr:rowOff>
        </xdr:to>
        <xdr:sp macro="" textlink="">
          <xdr:nvSpPr>
            <xdr:cNvPr id="13320" name="Check Box 8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00000000-0008-0000-0000-00000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298450</xdr:colOff>
          <xdr:row>8</xdr:row>
          <xdr:rowOff>184150</xdr:rowOff>
        </xdr:from>
        <xdr:to>
          <xdr:col>8</xdr:col>
          <xdr:colOff>501650</xdr:colOff>
          <xdr:row>10</xdr:row>
          <xdr:rowOff>0</xdr:rowOff>
        </xdr:to>
        <xdr:sp macro="" textlink="">
          <xdr:nvSpPr>
            <xdr:cNvPr id="13321" name="Check Box 9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00000000-0008-0000-0000-00000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311150</xdr:colOff>
          <xdr:row>13</xdr:row>
          <xdr:rowOff>184150</xdr:rowOff>
        </xdr:from>
        <xdr:to>
          <xdr:col>8</xdr:col>
          <xdr:colOff>527050</xdr:colOff>
          <xdr:row>15</xdr:row>
          <xdr:rowOff>25400</xdr:rowOff>
        </xdr:to>
        <xdr:sp macro="" textlink="">
          <xdr:nvSpPr>
            <xdr:cNvPr id="13322" name="Check Box 10" hidden="1">
              <a:extLst>
                <a:ext uri="{63B3BB69-23CF-44E3-9099-C40C66FF867C}">
                  <a14:compatExt spid="_x0000_s13322"/>
                </a:ext>
                <a:ext uri="{FF2B5EF4-FFF2-40B4-BE49-F238E27FC236}">
                  <a16:creationId xmlns:a16="http://schemas.microsoft.com/office/drawing/2014/main" id="{00000000-0008-0000-0000-00000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311150</xdr:colOff>
          <xdr:row>14</xdr:row>
          <xdr:rowOff>177800</xdr:rowOff>
        </xdr:from>
        <xdr:to>
          <xdr:col>8</xdr:col>
          <xdr:colOff>527050</xdr:colOff>
          <xdr:row>16</xdr:row>
          <xdr:rowOff>25400</xdr:rowOff>
        </xdr:to>
        <xdr:sp macro="" textlink="">
          <xdr:nvSpPr>
            <xdr:cNvPr id="13323" name="Check Box 11" hidden="1">
              <a:extLst>
                <a:ext uri="{63B3BB69-23CF-44E3-9099-C40C66FF867C}">
                  <a14:compatExt spid="_x0000_s13323"/>
                </a:ext>
                <a:ext uri="{FF2B5EF4-FFF2-40B4-BE49-F238E27FC236}">
                  <a16:creationId xmlns:a16="http://schemas.microsoft.com/office/drawing/2014/main" id="{00000000-0008-0000-0000-00000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304800</xdr:colOff>
          <xdr:row>15</xdr:row>
          <xdr:rowOff>165100</xdr:rowOff>
        </xdr:from>
        <xdr:to>
          <xdr:col>8</xdr:col>
          <xdr:colOff>520700</xdr:colOff>
          <xdr:row>17</xdr:row>
          <xdr:rowOff>12700</xdr:rowOff>
        </xdr:to>
        <xdr:sp macro="" textlink="">
          <xdr:nvSpPr>
            <xdr:cNvPr id="13324" name="Check Box 12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00000000-0008-0000-0000-00000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304800</xdr:colOff>
          <xdr:row>16</xdr:row>
          <xdr:rowOff>165100</xdr:rowOff>
        </xdr:from>
        <xdr:to>
          <xdr:col>8</xdr:col>
          <xdr:colOff>527050</xdr:colOff>
          <xdr:row>18</xdr:row>
          <xdr:rowOff>25400</xdr:rowOff>
        </xdr:to>
        <xdr:sp macro="" textlink="">
          <xdr:nvSpPr>
            <xdr:cNvPr id="13325" name="Check Box 13" hidden="1">
              <a:extLst>
                <a:ext uri="{63B3BB69-23CF-44E3-9099-C40C66FF867C}">
                  <a14:compatExt spid="_x0000_s13325"/>
                </a:ext>
                <a:ext uri="{FF2B5EF4-FFF2-40B4-BE49-F238E27FC236}">
                  <a16:creationId xmlns:a16="http://schemas.microsoft.com/office/drawing/2014/main" id="{00000000-0008-0000-0000-00000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298450</xdr:colOff>
          <xdr:row>17</xdr:row>
          <xdr:rowOff>165100</xdr:rowOff>
        </xdr:from>
        <xdr:to>
          <xdr:col>8</xdr:col>
          <xdr:colOff>501650</xdr:colOff>
          <xdr:row>19</xdr:row>
          <xdr:rowOff>6350</xdr:rowOff>
        </xdr:to>
        <xdr:sp macro="" textlink="">
          <xdr:nvSpPr>
            <xdr:cNvPr id="13326" name="Check Box 14" hidden="1">
              <a:extLst>
                <a:ext uri="{63B3BB69-23CF-44E3-9099-C40C66FF867C}">
                  <a14:compatExt spid="_x0000_s13326"/>
                </a:ext>
                <a:ext uri="{FF2B5EF4-FFF2-40B4-BE49-F238E27FC236}">
                  <a16:creationId xmlns:a16="http://schemas.microsoft.com/office/drawing/2014/main" id="{00000000-0008-0000-0000-00000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298450</xdr:colOff>
          <xdr:row>19</xdr:row>
          <xdr:rowOff>158750</xdr:rowOff>
        </xdr:from>
        <xdr:to>
          <xdr:col>8</xdr:col>
          <xdr:colOff>501650</xdr:colOff>
          <xdr:row>21</xdr:row>
          <xdr:rowOff>12700</xdr:rowOff>
        </xdr:to>
        <xdr:sp macro="" textlink="">
          <xdr:nvSpPr>
            <xdr:cNvPr id="13327" name="Check Box 15" hidden="1">
              <a:extLst>
                <a:ext uri="{63B3BB69-23CF-44E3-9099-C40C66FF867C}">
                  <a14:compatExt spid="_x0000_s13327"/>
                </a:ext>
                <a:ext uri="{FF2B5EF4-FFF2-40B4-BE49-F238E27FC236}">
                  <a16:creationId xmlns:a16="http://schemas.microsoft.com/office/drawing/2014/main" id="{00000000-0008-0000-0000-00000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298450</xdr:colOff>
          <xdr:row>20</xdr:row>
          <xdr:rowOff>165100</xdr:rowOff>
        </xdr:from>
        <xdr:to>
          <xdr:col>8</xdr:col>
          <xdr:colOff>501650</xdr:colOff>
          <xdr:row>22</xdr:row>
          <xdr:rowOff>25400</xdr:rowOff>
        </xdr:to>
        <xdr:sp macro="" textlink="">
          <xdr:nvSpPr>
            <xdr:cNvPr id="13328" name="Check Box 16" hidden="1">
              <a:extLst>
                <a:ext uri="{63B3BB69-23CF-44E3-9099-C40C66FF867C}">
                  <a14:compatExt spid="_x0000_s13328"/>
                </a:ext>
                <a:ext uri="{FF2B5EF4-FFF2-40B4-BE49-F238E27FC236}">
                  <a16:creationId xmlns:a16="http://schemas.microsoft.com/office/drawing/2014/main" id="{00000000-0008-0000-0000-00001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298450</xdr:colOff>
          <xdr:row>18</xdr:row>
          <xdr:rowOff>165100</xdr:rowOff>
        </xdr:from>
        <xdr:to>
          <xdr:col>8</xdr:col>
          <xdr:colOff>501650</xdr:colOff>
          <xdr:row>20</xdr:row>
          <xdr:rowOff>25400</xdr:rowOff>
        </xdr:to>
        <xdr:sp macro="" textlink="">
          <xdr:nvSpPr>
            <xdr:cNvPr id="13329" name="Check Box 17" hidden="1">
              <a:extLst>
                <a:ext uri="{63B3BB69-23CF-44E3-9099-C40C66FF867C}">
                  <a14:compatExt spid="_x0000_s13329"/>
                </a:ext>
                <a:ext uri="{FF2B5EF4-FFF2-40B4-BE49-F238E27FC236}">
                  <a16:creationId xmlns:a16="http://schemas.microsoft.com/office/drawing/2014/main" id="{00000000-0008-0000-0000-00001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298450</xdr:colOff>
          <xdr:row>21</xdr:row>
          <xdr:rowOff>184150</xdr:rowOff>
        </xdr:from>
        <xdr:to>
          <xdr:col>8</xdr:col>
          <xdr:colOff>501650</xdr:colOff>
          <xdr:row>22</xdr:row>
          <xdr:rowOff>177800</xdr:rowOff>
        </xdr:to>
        <xdr:sp macro="" textlink="">
          <xdr:nvSpPr>
            <xdr:cNvPr id="13330" name="Check Box 18" hidden="1">
              <a:extLst>
                <a:ext uri="{63B3BB69-23CF-44E3-9099-C40C66FF867C}">
                  <a14:compatExt spid="_x0000_s13330"/>
                </a:ext>
                <a:ext uri="{FF2B5EF4-FFF2-40B4-BE49-F238E27FC236}">
                  <a16:creationId xmlns:a16="http://schemas.microsoft.com/office/drawing/2014/main" id="{00000000-0008-0000-0000-00001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298450</xdr:colOff>
          <xdr:row>22</xdr:row>
          <xdr:rowOff>184150</xdr:rowOff>
        </xdr:from>
        <xdr:to>
          <xdr:col>8</xdr:col>
          <xdr:colOff>501650</xdr:colOff>
          <xdr:row>23</xdr:row>
          <xdr:rowOff>177800</xdr:rowOff>
        </xdr:to>
        <xdr:sp macro="" textlink="">
          <xdr:nvSpPr>
            <xdr:cNvPr id="13331" name="Check Box 19" hidden="1">
              <a:extLst>
                <a:ext uri="{63B3BB69-23CF-44E3-9099-C40C66FF867C}">
                  <a14:compatExt spid="_x0000_s13331"/>
                </a:ext>
                <a:ext uri="{FF2B5EF4-FFF2-40B4-BE49-F238E27FC236}">
                  <a16:creationId xmlns:a16="http://schemas.microsoft.com/office/drawing/2014/main" id="{00000000-0008-0000-0000-00001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0</xdr:colOff>
      <xdr:row>2</xdr:row>
      <xdr:rowOff>163286</xdr:rowOff>
    </xdr:from>
    <xdr:to>
      <xdr:col>52</xdr:col>
      <xdr:colOff>287866</xdr:colOff>
      <xdr:row>23</xdr:row>
      <xdr:rowOff>118533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4884400" y="620486"/>
          <a:ext cx="12361333" cy="4349447"/>
        </a:xfrm>
        <a:prstGeom prst="roundRect">
          <a:avLst/>
        </a:pr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3B01418-5AFE-40B1-8389-D7D74ECF2595}" name="Table23" displayName="Table23" ref="B5:AE58" totalsRowShown="0">
  <autoFilter ref="B5:AE58" xr:uid="{C3B01418-5AFE-40B1-8389-D7D74ECF2595}"/>
  <tableColumns count="30">
    <tableColumn id="1" xr3:uid="{703E97C2-A754-481E-A9FA-E8FED7E23D8F}" name="#" dataDxfId="30"/>
    <tableColumn id="2" xr3:uid="{C1475EEC-2A3E-4CEA-A0C0-C29D2BB9EEED}" name="Skill / Domain Knowledge" dataDxfId="29"/>
    <tableColumn id="3" xr3:uid="{4E377A05-7BDE-48E2-8F8D-76C4EA5CA932}" name="Topic 0" dataDxfId="28"/>
    <tableColumn id="4" xr3:uid="{C3DDD3C9-40DC-4995-953F-8E24C0957171}" name="Topic 1" dataDxfId="27"/>
    <tableColumn id="5" xr3:uid="{6036F49B-B7E5-4198-987B-6BBE4EA8879B}" name="Topic 2" dataDxfId="26"/>
    <tableColumn id="6" xr3:uid="{987D0512-8C9C-49F3-892D-5321044F792B}" name="Topic 3" dataDxfId="25"/>
    <tableColumn id="7" xr3:uid="{FE2DA20E-5808-4A79-A517-72A60CF30A98}" name="Topic 4" dataDxfId="24"/>
    <tableColumn id="8" xr3:uid="{A83E5793-CB2D-4F52-BFFA-BF7EDF4C26D7}" name="Topic 5" dataDxfId="23"/>
    <tableColumn id="9" xr3:uid="{FD2303B7-0CF7-4896-8527-E1CAB9F8093F}" name="Topic 6" dataDxfId="22"/>
    <tableColumn id="10" xr3:uid="{1B8C4316-E9EE-470F-9C62-60E17004C5CC}" name="Topic 7" dataDxfId="21"/>
    <tableColumn id="11" xr3:uid="{4912BE15-E550-498C-BCBF-D885F8ABDA61}" name="Topic 8" dataDxfId="20"/>
    <tableColumn id="12" xr3:uid="{FD4DE41C-EC2F-46DE-A122-E89F1DE3CFBE}" name="Topic 9" dataDxfId="19"/>
    <tableColumn id="13" xr3:uid="{601F22FE-19F6-433B-A7C1-B63E262472AA}" name="Topic 10" dataDxfId="18"/>
    <tableColumn id="14" xr3:uid="{1C24D06E-1E6E-467D-834B-FEDA19581049}" name="Topic 11" dataDxfId="17"/>
    <tableColumn id="15" xr3:uid="{5F217609-A919-4A76-A632-1BB134FF17D0}" name="Topic 12" dataDxfId="16"/>
    <tableColumn id="16" xr3:uid="{C25BED75-5E88-4ACC-AB52-826FF8FA0473}" name="Topic 13" dataDxfId="15"/>
    <tableColumn id="17" xr3:uid="{58887A47-695C-45C9-9909-6B35001BDDFF}" name="Topic 14" dataDxfId="14"/>
    <tableColumn id="18" xr3:uid="{0CF9D304-4EE6-4F19-8247-92D911E3BDA5}" name="Topic 15" dataDxfId="13"/>
    <tableColumn id="19" xr3:uid="{6EAB6615-7943-4664-8900-5F4142BECAF1}" name="Topic 16" dataDxfId="12"/>
    <tableColumn id="20" xr3:uid="{DCD57FB5-AD6F-45F1-A52C-60D0A00794F3}" name="Topic 17" dataDxfId="11"/>
    <tableColumn id="21" xr3:uid="{6FEC4C4F-A260-46B7-B24B-FE0D7CCC66B9}" name="Topic 18" dataDxfId="10"/>
    <tableColumn id="31" xr3:uid="{6A3B9848-4AB4-41F0-9B09-B82FC086612F}" name="Topic 19" dataDxfId="9"/>
    <tableColumn id="33" xr3:uid="{67F6C956-4C76-4AB9-B9E3-EF19B9804D0B}" name="Robotics in Mfg" dataDxfId="8"/>
    <tableColumn id="34" xr3:uid="{B75BAC33-9538-476A-9F10-53FF3D67746E}" name="Data Mgmt" dataDxfId="7"/>
    <tableColumn id="32" xr3:uid="{4FC1E46C-FF1B-4EC9-A36B-0BF87DFF0D09}" name="Cyber-Mfg Systems" dataDxfId="6"/>
    <tableColumn id="22" xr3:uid="{A99CE124-FFBC-4F6F-92A5-FDD6B982FAB7}" name="Data Visualization" dataDxfId="5"/>
    <tableColumn id="23" xr3:uid="{4828F519-B3D3-42F4-B9F8-AE1411EFD208}" name="Data  Science" dataDxfId="4"/>
    <tableColumn id="24" xr3:uid="{4A28A9C7-0ECF-4A95-B96F-03E69364E22E}" name="Automation" dataDxfId="3"/>
    <tableColumn id="25" xr3:uid="{85EC719E-19BA-44C7-909F-11CBAB90E7F3}" name="Cyber" dataDxfId="2"/>
    <tableColumn id="26" xr3:uid="{D8070638-CE72-4498-8464-DD666E84A189}" name="Senso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B21C-4DE8-4EBA-BE76-7990A072DD67}">
  <sheetPr>
    <tabColor theme="4"/>
  </sheetPr>
  <dimension ref="A2:BB119"/>
  <sheetViews>
    <sheetView showGridLines="0" tabSelected="1" topLeftCell="L3" zoomScale="70" zoomScaleNormal="70" workbookViewId="0">
      <selection activeCell="AL6" sqref="AL6"/>
    </sheetView>
  </sheetViews>
  <sheetFormatPr defaultRowHeight="14.5" x14ac:dyDescent="0.35"/>
  <cols>
    <col min="1" max="1" width="8" customWidth="1"/>
    <col min="2" max="2" width="28.453125" bestFit="1" customWidth="1"/>
    <col min="3" max="3" width="40.08984375" bestFit="1" customWidth="1"/>
    <col min="4" max="4" width="36.54296875" bestFit="1" customWidth="1"/>
    <col min="5" max="5" width="30.453125" bestFit="1" customWidth="1"/>
    <col min="6" max="6" width="4.453125" customWidth="1"/>
    <col min="7" max="7" width="30.54296875" hidden="1" customWidth="1"/>
    <col min="8" max="8" width="31.54296875" bestFit="1" customWidth="1"/>
    <col min="9" max="9" width="12" customWidth="1"/>
    <col min="10" max="10" width="21.453125" customWidth="1"/>
    <col min="11" max="11" width="8" customWidth="1"/>
    <col min="12" max="12" width="31.08984375" customWidth="1"/>
    <col min="13" max="13" width="6" customWidth="1"/>
    <col min="14" max="14" width="21.36328125" customWidth="1"/>
    <col min="15" max="15" width="7.54296875" customWidth="1"/>
    <col min="16" max="16" width="7.26953125" customWidth="1"/>
    <col min="17" max="18" width="7.1796875" customWidth="1"/>
    <col min="19" max="19" width="7.90625" customWidth="1"/>
    <col min="20" max="20" width="7.26953125" customWidth="1"/>
    <col min="21" max="21" width="7.6328125" customWidth="1"/>
    <col min="22" max="22" width="7.1796875" customWidth="1"/>
    <col min="23" max="23" width="7.54296875" customWidth="1"/>
    <col min="24" max="24" width="7.81640625" customWidth="1"/>
    <col min="25" max="25" width="7.90625" customWidth="1"/>
    <col min="26" max="26" width="8.7265625" customWidth="1"/>
    <col min="27" max="27" width="7.6328125" customWidth="1"/>
    <col min="28" max="28" width="7.90625" customWidth="1"/>
    <col min="29" max="29" width="8" customWidth="1"/>
    <col min="30" max="30" width="7.36328125" customWidth="1"/>
    <col min="31" max="31" width="8.26953125" customWidth="1"/>
    <col min="32" max="32" width="8.453125" customWidth="1"/>
    <col min="33" max="33" width="7.54296875" customWidth="1"/>
    <col min="34" max="34" width="9.81640625" customWidth="1"/>
    <col min="35" max="35" width="8.1796875" customWidth="1"/>
    <col min="36" max="36" width="17.54296875" customWidth="1"/>
    <col min="37" max="37" width="6.6328125" customWidth="1"/>
    <col min="38" max="38" width="7.54296875" customWidth="1"/>
    <col min="39" max="39" width="17" customWidth="1"/>
    <col min="40" max="40" width="33.6328125" customWidth="1"/>
    <col min="41" max="41" width="4.6328125" customWidth="1"/>
    <col min="42" max="42" width="28.54296875" customWidth="1"/>
    <col min="43" max="43" width="5.81640625" customWidth="1"/>
    <col min="44" max="44" width="28.54296875" customWidth="1"/>
    <col min="45" max="45" width="4.81640625" customWidth="1"/>
    <col min="46" max="46" width="28.54296875" hidden="1" customWidth="1"/>
    <col min="47" max="47" width="9.90625" hidden="1" customWidth="1"/>
    <col min="48" max="48" width="28.54296875" hidden="1" customWidth="1"/>
    <col min="49" max="49" width="10.453125" hidden="1" customWidth="1"/>
    <col min="50" max="50" width="28.54296875" hidden="1" customWidth="1"/>
    <col min="51" max="51" width="10.08984375" hidden="1" customWidth="1"/>
    <col min="52" max="52" width="28.54296875" hidden="1" customWidth="1"/>
    <col min="53" max="53" width="10.453125" hidden="1" customWidth="1"/>
    <col min="54" max="54" width="23.54296875" hidden="1" customWidth="1"/>
  </cols>
  <sheetData>
    <row r="2" spans="1:54" ht="21" x14ac:dyDescent="0.5">
      <c r="A2" s="11" t="s">
        <v>279</v>
      </c>
      <c r="B2" s="11"/>
      <c r="C2" s="11"/>
      <c r="D2" s="11"/>
      <c r="E2" s="11"/>
    </row>
    <row r="5" spans="1:54" ht="18.5" x14ac:dyDescent="0.45">
      <c r="C5" s="10" t="s">
        <v>0</v>
      </c>
      <c r="L5" s="10" t="s">
        <v>1</v>
      </c>
      <c r="AN5" s="10" t="s">
        <v>2</v>
      </c>
      <c r="AO5" s="10"/>
      <c r="AP5" s="10"/>
      <c r="AV5" t="s">
        <v>3</v>
      </c>
      <c r="BB5" t="s">
        <v>4</v>
      </c>
    </row>
    <row r="6" spans="1:54" s="1" customFormat="1" ht="37.5" thickBot="1" x14ac:dyDescent="0.4">
      <c r="C6" s="16" t="s">
        <v>5</v>
      </c>
      <c r="D6" s="16" t="s">
        <v>6</v>
      </c>
      <c r="E6" s="40" t="s">
        <v>7</v>
      </c>
      <c r="F6" s="38"/>
      <c r="G6" s="16" t="s">
        <v>8</v>
      </c>
      <c r="H6" s="16" t="s">
        <v>282</v>
      </c>
      <c r="I6" s="16" t="s">
        <v>9</v>
      </c>
      <c r="L6" s="16" t="s">
        <v>10</v>
      </c>
      <c r="M6" s="118" t="s">
        <v>278</v>
      </c>
      <c r="N6" s="118"/>
      <c r="O6" s="111">
        <f>'Topic-Module_Matrix'!AA4</f>
        <v>0.03</v>
      </c>
      <c r="P6" s="16" t="s">
        <v>11</v>
      </c>
      <c r="Q6" s="16" t="s">
        <v>11</v>
      </c>
      <c r="R6" s="16" t="s">
        <v>11</v>
      </c>
      <c r="S6" s="16" t="s">
        <v>11</v>
      </c>
      <c r="T6" s="16" t="s">
        <v>11</v>
      </c>
      <c r="U6" s="16" t="s">
        <v>11</v>
      </c>
      <c r="V6" s="16" t="s">
        <v>11</v>
      </c>
      <c r="W6" s="16" t="s">
        <v>11</v>
      </c>
      <c r="X6" s="16" t="s">
        <v>11</v>
      </c>
      <c r="Y6" s="16" t="s">
        <v>11</v>
      </c>
      <c r="Z6" s="16" t="s">
        <v>11</v>
      </c>
      <c r="AA6" s="16" t="s">
        <v>11</v>
      </c>
      <c r="AB6" s="16" t="s">
        <v>11</v>
      </c>
      <c r="AC6" s="16" t="s">
        <v>11</v>
      </c>
      <c r="AD6" s="16" t="s">
        <v>11</v>
      </c>
      <c r="AE6" s="16" t="s">
        <v>11</v>
      </c>
      <c r="AF6" s="16" t="s">
        <v>11</v>
      </c>
      <c r="AG6" s="16" t="s">
        <v>11</v>
      </c>
      <c r="AH6" s="16" t="s">
        <v>11</v>
      </c>
      <c r="AI6" s="16" t="s">
        <v>11</v>
      </c>
      <c r="AJ6" s="69"/>
      <c r="AK6" s="69"/>
      <c r="AM6"/>
      <c r="AN6" s="13" t="s">
        <v>13</v>
      </c>
      <c r="AO6" s="12"/>
      <c r="AP6" s="13" t="s">
        <v>14</v>
      </c>
      <c r="AQ6" s="12"/>
      <c r="AR6" s="13" t="s">
        <v>15</v>
      </c>
      <c r="AS6" s="12"/>
      <c r="AT6" s="15" t="s">
        <v>16</v>
      </c>
      <c r="AU6" s="12"/>
      <c r="AV6" s="15" t="s">
        <v>17</v>
      </c>
      <c r="AW6" s="12"/>
      <c r="AX6" s="15" t="s">
        <v>18</v>
      </c>
      <c r="AY6" s="12"/>
      <c r="AZ6" s="13" t="s">
        <v>12</v>
      </c>
      <c r="BA6" s="12"/>
      <c r="BB6" s="15" t="s">
        <v>19</v>
      </c>
    </row>
    <row r="7" spans="1:54" ht="15" customHeight="1" x14ac:dyDescent="0.5">
      <c r="C7" s="41"/>
      <c r="D7" s="42"/>
      <c r="E7" s="41" t="s">
        <v>289</v>
      </c>
      <c r="F7" s="112" t="s">
        <v>281</v>
      </c>
      <c r="G7" s="18" t="str">
        <f>(IF($E$7="Data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Knowledge],""),NA())))))</f>
        <v>Big Data</v>
      </c>
      <c r="H7" s="18" t="str" cm="1">
        <f t="array" ref="H7:H23">_xlfn._xlws.FILTER(G7:G58,(G7:G58&lt;&gt;""))</f>
        <v>Big Data</v>
      </c>
      <c r="I7" s="66" t="b">
        <v>1</v>
      </c>
      <c r="K7" t="s">
        <v>20</v>
      </c>
      <c r="L7" s="5" t="str">
        <f>IF(I7=TRUE,VLOOKUP(H7,Table23[Skill / Domain Knowledge],1,FALSE),"")</f>
        <v>Big Data</v>
      </c>
      <c r="P7" s="92" t="str">
        <f>(_xlfn.SINGLE(IF($L$7="Big Data",IF(Table23[[#This Row],[Topic 0]]=1,Table23[[#Headers],[Topic 0]],""),IF($L$7="Automation",IF('Job_Topic-Skill_Matrix'!D18=1,Table23[[#Headers],[Topic 0]],""),IF($L$7="Algorithms",IF('Job_Topic-Skill_Matrix'!D9=1,Table23[[#Headers],[Topic 0]],""),NA())))))</f>
        <v>Topic 0</v>
      </c>
      <c r="Q7" s="101" t="str">
        <f>(_xlfn.SINGLE(IF($L$7="Big Data",IF(Table23[[#This Row],[Topic 1]]=1,Table23[[#Headers],[Topic 1]],""),IF($L$7="Automation",IF('Job_Topic-Skill_Matrix'!E18=1,Table23[[#Headers],[Topic 1]],""),IF($L$7="Algorithms",IF('Job_Topic-Skill_Matrix'!E9=1,Table23[[#Headers],[Topic 1]],""),NA())))))</f>
        <v/>
      </c>
      <c r="R7" s="101" t="str">
        <f>(_xlfn.SINGLE(IF($L$7="Big Data",IF(Table23[[#This Row],[Topic 2]]=1,Table23[[#Headers],[Topic 2]],""),IF($L$7="Automation",IF('Job_Topic-Skill_Matrix'!F18=1,Table23[[#Headers],[Topic 2]],""),IF($L$7="Algorithms",IF('Job_Topic-Skill_Matrix'!F9=1,Table23[[#Headers],[Topic 2]],""),NA())))))</f>
        <v>Topic 2</v>
      </c>
      <c r="S7" s="101" t="str">
        <f>(_xlfn.SINGLE(IF($L$7="Big Data",IF(Table23[[#This Row],[Topic 3]]=1,Table23[[#Headers],[Topic 3]],""),IF($L$7="Automation",IF('Job_Topic-Skill_Matrix'!G18=1,Table23[[#Headers],[Topic 3]],""),IF($L$7="Algorithms",IF('Job_Topic-Skill_Matrix'!G9=1,Table23[[#Headers],[Topic 3]],""),NA())))))</f>
        <v>Topic 3</v>
      </c>
      <c r="T7" s="101" t="str">
        <f>(_xlfn.SINGLE(IF($L$7="Big Data",IF(Table23[[#This Row],[Topic 4]]=1,Table23[[#Headers],[Topic 4]],""),IF($L$7="Automation",IF('Job_Topic-Skill_Matrix'!H18=1,Table23[[#Headers],[Topic 4]],""),IF($L$7="Algorithms",IF('Job_Topic-Skill_Matrix'!H9=1,Table23[[#Headers],[Topic 4]],""),NA())))))</f>
        <v>Topic 4</v>
      </c>
      <c r="U7" s="101" t="str">
        <f>(_xlfn.SINGLE(IF($L$7="Big Data",IF(Table23[[#This Row],[Topic 5]]=1,Table23[[#Headers],[Topic 5]],""),IF($L$7="Automation",IF('Job_Topic-Skill_Matrix'!I18=1,Table23[[#Headers],[Topic 5]],""),IF($L$7="Algorithms",IF('Job_Topic-Skill_Matrix'!I9=1,Table23[[#Headers],[Topic 5]],""),NA())))))</f>
        <v>Topic 5</v>
      </c>
      <c r="V7" s="101" t="str">
        <f>(_xlfn.SINGLE(IF($L$7="Big Data",IF(Table23[[#This Row],[Topic 6]]=1,Table23[[#Headers],[Topic 6]],""),IF($L$7="Automation",IF('Job_Topic-Skill_Matrix'!J18=1,Table23[[#Headers],[Topic 6]],""),IF($L$7="Algorithms",IF('Job_Topic-Skill_Matrix'!J9=1,Table23[[#Headers],[Topic 6]],""),NA())))))</f>
        <v>Topic 6</v>
      </c>
      <c r="W7" s="101" t="str">
        <f>(_xlfn.SINGLE(IF($L$7="Big Data",IF(Table23[[#This Row],[Topic 7]]=1,Table23[[#Headers],[Topic 7]],""),IF($L$7="Automation",IF('Job_Topic-Skill_Matrix'!K18=1,Table23[[#Headers],[Topic 7]],""),IF($L$7="Algorithms",IF('Job_Topic-Skill_Matrix'!K9=1,Table23[[#Headers],[Topic 7]],""),NA())))))</f>
        <v/>
      </c>
      <c r="X7" s="101" t="str">
        <f>(_xlfn.SINGLE(IF($L$7="Big Data",IF(Table23[[#This Row],[Topic 8]]=1,Table23[[#Headers],[Topic 8]],""),IF($L$7="Automation",IF('Job_Topic-Skill_Matrix'!L18=1,Table23[[#Headers],[Topic 8]],""),IF($L$7="Algorithms",IF('Job_Topic-Skill_Matrix'!L9=1,Table23[[#Headers],[Topic 8]],""),NA())))))</f>
        <v>Topic 8</v>
      </c>
      <c r="Y7" s="101" t="str">
        <f>(_xlfn.SINGLE(IF($L$7="Big Data",IF(Table23[[#This Row],[Topic 9]]=1,Table23[[#Headers],[Topic 9]],""),IF($L$7="Automation",IF('Job_Topic-Skill_Matrix'!M18=1,Table23[[#Headers],[Topic 9]],""),IF($L$7="Algorithms",IF('Job_Topic-Skill_Matrix'!M9=1,Table23[[#Headers],[Topic 9]],""),NA())))))</f>
        <v>Topic 9</v>
      </c>
      <c r="Z7" s="101" t="str">
        <f>(_xlfn.SINGLE(IF($L$7="Big Data",IF(Table23[[#This Row],[Topic 10]]=1,Table23[[#Headers],[Topic 10]],""),IF($L$7="Automation",IF('Job_Topic-Skill_Matrix'!N18=1,Table23[[#Headers],[Topic 10]],""),IF($L$7="Algorithms",IF('Job_Topic-Skill_Matrix'!N9=1,Table23[[#Headers],[Topic 10]],""),NA())))))</f>
        <v>Topic 10</v>
      </c>
      <c r="AA7" s="101" t="str">
        <f>(_xlfn.SINGLE(IF($L$7="Big Data",IF(Table23[[#This Row],[Topic 11]]=1,Table23[[#Headers],[Topic 11]],""),IF($L$7="Automation",IF('Job_Topic-Skill_Matrix'!O18=1,Table23[[#Headers],[Topic 11]],""),IF($L$7="Algorithms",IF('Job_Topic-Skill_Matrix'!O9=1,Table23[[#Headers],[Topic 11]],""),NA())))))</f>
        <v/>
      </c>
      <c r="AB7" s="101" t="str">
        <f>(_xlfn.SINGLE(IF($L$7="Big Data",IF(Table23[[#This Row],[Topic 12]]=1,Table23[[#Headers],[Topic 12]],""),IF($L$7="Automation",IF('Job_Topic-Skill_Matrix'!P18=1,Table23[[#Headers],[Topic 12]],""),IF($L$7="Algorithms",IF('Job_Topic-Skill_Matrix'!P9=1,Table23[[#Headers],[Topic 12]],""),NA())))))</f>
        <v/>
      </c>
      <c r="AC7" s="101" t="str">
        <f>(_xlfn.SINGLE(IF($L$7="Big Data",IF(Table23[[#This Row],[Topic 13]]=1,Table23[[#Headers],[Topic 13]],""),IF($L$7="Automation",IF('Job_Topic-Skill_Matrix'!Q18=1,Table23[[#Headers],[Topic 13]],""),IF($L$7="Algorithms",IF('Job_Topic-Skill_Matrix'!Q9=1,Table23[[#Headers],[Topic 13]],""),NA())))))</f>
        <v/>
      </c>
      <c r="AD7" s="101" t="str">
        <f>(_xlfn.SINGLE(IF($L$7="Big Data",IF(Table23[[#This Row],[Topic 14]]=1,Table23[[#Headers],[Topic 14]],""),IF($L$7="Automation",IF('Job_Topic-Skill_Matrix'!R18=1,Table23[[#Headers],[Topic 14]],""),IF($L$7="Algorithms",IF('Job_Topic-Skill_Matrix'!R9=1,Table23[[#Headers],[Topic 14]],""),NA())))))</f>
        <v/>
      </c>
      <c r="AE7" s="101" t="str">
        <f>(_xlfn.SINGLE(IF($L$7="Big Data",IF(Table23[[#This Row],[Topic 15]]=1,Table23[[#Headers],[Topic 15]],""),IF($L$7="Automation",IF('Job_Topic-Skill_Matrix'!S18=1,Table23[[#Headers],[Topic 15]],""),IF($L$7="Algorithms",IF('Job_Topic-Skill_Matrix'!S9=1,Table23[[#Headers],[Topic 15]],""),NA())))))</f>
        <v/>
      </c>
      <c r="AF7" s="101" t="str">
        <f>(_xlfn.SINGLE(IF($L$7="Big Data",IF(Table23[[#This Row],[Topic 16]]=1,Table23[[#Headers],[Topic 16]],""),IF($L$7="Automation",IF('Job_Topic-Skill_Matrix'!T18=1,Table23[[#Headers],[Topic 16]],""),IF($L$7="Algorithms",IF('Job_Topic-Skill_Matrix'!T9=1,Table23[[#Headers],[Topic 16]],""),NA())))))</f>
        <v>Topic 16</v>
      </c>
      <c r="AG7" s="101" t="str">
        <f>(_xlfn.SINGLE(IF($L$7="Big Data",IF(Table23[[#This Row],[Topic 17]]=1,Table23[[#Headers],[Topic 17]],""),IF($L$7="Automation",IF('Job_Topic-Skill_Matrix'!U18=1,Table23[[#Headers],[Topic 17]],""),IF($L$7="Algorithms",IF('Job_Topic-Skill_Matrix'!U9=1,Table23[[#Headers],[Topic 17]],""),NA())))))</f>
        <v/>
      </c>
      <c r="AH7" s="101" t="str">
        <f>(_xlfn.SINGLE(IF($L$7="Big Data",IF(Table23[[#This Row],[Topic 18]]=1,Table23[[#Headers],[Topic 18]],""),IF($L$7="Automation",IF('Job_Topic-Skill_Matrix'!V18=1,Table23[[#Headers],[Topic 18]],""),IF($L$7="Algorithms",IF('Job_Topic-Skill_Matrix'!V9=1,Table23[[#Headers],[Topic 18]],""),NA())))))</f>
        <v/>
      </c>
      <c r="AI7" s="102" t="str">
        <f>(_xlfn.SINGLE(IF($L$7="Big Data",IF(Table23[[#This Row],[Topic 19]]=1,Table23[[#Headers],[Topic 19]],""),IF($L$7="Automation",IF('Job_Topic-Skill_Matrix'!W18=1,Table23[[#Headers],[Topic 19]],""),IF($L$7="Algorithms",IF('Job_Topic-Skill_Matrix'!W9=1,Table23[[#Headers],[Topic 19]],""),NA())))))</f>
        <v/>
      </c>
      <c r="AM7" s="14" t="s">
        <v>21</v>
      </c>
      <c r="AN7" s="106" t="s">
        <v>22</v>
      </c>
      <c r="AO7" s="107"/>
      <c r="AP7" s="107" t="s">
        <v>23</v>
      </c>
      <c r="AQ7" s="43"/>
      <c r="AR7" s="107" t="s">
        <v>287</v>
      </c>
      <c r="AS7" s="107"/>
      <c r="AT7" s="107" t="s">
        <v>24</v>
      </c>
      <c r="AU7" s="107"/>
      <c r="AV7" s="107" t="s">
        <v>25</v>
      </c>
      <c r="AW7" s="107"/>
      <c r="AX7" s="107" t="s">
        <v>26</v>
      </c>
      <c r="AY7" s="107"/>
      <c r="AZ7" s="107" t="s">
        <v>27</v>
      </c>
      <c r="BA7" s="3"/>
      <c r="BB7" s="43" t="s">
        <v>28</v>
      </c>
    </row>
    <row r="8" spans="1:54" ht="15" customHeight="1" x14ac:dyDescent="0.35">
      <c r="G8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>Statistics</v>
      </c>
      <c r="H8" s="18" t="str">
        <v>Statistics</v>
      </c>
      <c r="I8" s="66" t="b">
        <v>1</v>
      </c>
      <c r="K8" t="s">
        <v>29</v>
      </c>
      <c r="L8" s="5" t="str">
        <f>IF(I8=TRUE,VLOOKUP(H8,Table23[Skill / Domain Knowledge],1,FALSE),"")</f>
        <v>Statistics</v>
      </c>
      <c r="P8" s="93" t="str">
        <f>(_xlfn.SINGLE(IF($L$8="Statistics",IF(Table23[[#This Row],[Topic 0]]=1,Table23[[#Headers],[Topic 0]],""),IF($L$8="Lean Manufacturing",IF('Job_Topic-Skill_Matrix'!D25=1,Table23[[#Headers],[Topic 0]],""),IF($L$8="Automation",IF('Job_Topic-Skill_Matrix'!D18,Table23[[#Headers],[Topic 0]],""),NA())))))</f>
        <v/>
      </c>
      <c r="Q8" s="96" t="str">
        <f>(_xlfn.SINGLE(IF($L$8="Statistics",IF(Table23[[#This Row],[Topic 1]]=1,Table23[[#Headers],[Topic 1]],""),IF($L$8="Lean Manufacturing",IF('Job_Topic-Skill_Matrix'!E25=1,Table23[[#Headers],[Topic 1]],""),IF($L$8="Automation",IF('Job_Topic-Skill_Matrix'!E18,Table23[[#Headers],[Topic 1]],""),NA())))))</f>
        <v/>
      </c>
      <c r="R8" s="96" t="str">
        <f>(_xlfn.SINGLE(IF($L$8="Statistics",IF(Table23[[#This Row],[Topic 2]]=1,Table23[[#Headers],[Topic 2]],""),IF($L$8="Lean Manufacturing",IF('Job_Topic-Skill_Matrix'!F25=1,Table23[[#Headers],[Topic 2]],""),IF($L$8="Automation",IF('Job_Topic-Skill_Matrix'!F18,Table23[[#Headers],[Topic 2]],""),NA())))))</f>
        <v>Topic 2</v>
      </c>
      <c r="S8" s="96" t="str">
        <f>(_xlfn.SINGLE(IF($L$8="Statistics",IF(Table23[[#This Row],[Topic 3]]=1,Table23[[#Headers],[Topic 3]],""),IF($L$8="Lean Manufacturing",IF('Job_Topic-Skill_Matrix'!G25=1,Table23[[#Headers],[Topic 3]],""),IF($L$8="Automation",IF('Job_Topic-Skill_Matrix'!G18,Table23[[#Headers],[Topic 3]],""),NA())))))</f>
        <v/>
      </c>
      <c r="T8" s="96" t="str">
        <f>(_xlfn.SINGLE(IF($L$8="Statistics",IF(Table23[[#This Row],[Topic 4]]=1,Table23[[#Headers],[Topic 4]],""),IF($L$8="Lean Manufacturing",IF('Job_Topic-Skill_Matrix'!H25=1,Table23[[#Headers],[Topic 4]],""),IF($L$8="Automation",IF('Job_Topic-Skill_Matrix'!H18,Table23[[#Headers],[Topic 4]],""),NA())))))</f>
        <v>Topic 4</v>
      </c>
      <c r="U8" s="96" t="str">
        <f>(_xlfn.SINGLE(IF($L$8="Statistics",IF(Table23[[#This Row],[Topic 5]]=1,Table23[[#Headers],[Topic 5]],""),IF($L$8="Lean Manufacturing",IF('Job_Topic-Skill_Matrix'!I25=1,Table23[[#Headers],[Topic 5]],""),IF($L$8="Automation",IF('Job_Topic-Skill_Matrix'!I18,Table23[[#Headers],[Topic 5]],""),NA())))))</f>
        <v/>
      </c>
      <c r="V8" s="96" t="str">
        <f>(_xlfn.SINGLE(IF($L$8="Statistics",IF(Table23[[#This Row],[Topic 6]]=1,Table23[[#Headers],[Topic 6]],""),IF($L$8="Lean Manufacturing",IF('Job_Topic-Skill_Matrix'!J25=1,Table23[[#Headers],[Topic 6]],""),IF($L$8="Automation",IF('Job_Topic-Skill_Matrix'!J18,Table23[[#Headers],[Topic 6]],""),NA())))))</f>
        <v/>
      </c>
      <c r="W8" s="96" t="str">
        <f>(_xlfn.SINGLE(IF($L$8="Statistics",IF(Table23[[#This Row],[Topic 7]]=1,Table23[[#Headers],[Topic 7]],""),IF($L$8="Lean Manufacturing",IF('Job_Topic-Skill_Matrix'!K25=1,Table23[[#Headers],[Topic 7]],""),IF($L$8="Automation",IF('Job_Topic-Skill_Matrix'!K18,Table23[[#Headers],[Topic 7]],""),NA())))))</f>
        <v/>
      </c>
      <c r="X8" s="96" t="str">
        <f>(_xlfn.SINGLE(IF($L$8="Statistics",IF(Table23[[#This Row],[Topic 8]]=1,Table23[[#Headers],[Topic 8]],""),IF($L$8="Lean Manufacturing",IF('Job_Topic-Skill_Matrix'!L25=1,Table23[[#Headers],[Topic 8]],""),IF($L$8="Automation",IF('Job_Topic-Skill_Matrix'!L18,Table23[[#Headers],[Topic 8]],""),NA())))))</f>
        <v/>
      </c>
      <c r="Y8" s="96" t="str">
        <f>(_xlfn.SINGLE(IF($L$8="Statistics",IF(Table23[[#This Row],[Topic 9]]=1,Table23[[#Headers],[Topic 9]],""),IF($L$8="Lean Manufacturing",IF('Job_Topic-Skill_Matrix'!M25=1,Table23[[#Headers],[Topic 9]],""),IF($L$8="Automation",IF('Job_Topic-Skill_Matrix'!M18,Table23[[#Headers],[Topic 9]],""),NA())))))</f>
        <v/>
      </c>
      <c r="Z8" s="96" t="str">
        <f>(_xlfn.SINGLE(IF($L$8="Statistics",IF(Table23[[#This Row],[Topic 10]]=1,Table23[[#Headers],[Topic 10]],""),IF($L$8="Lean Manufacturing",IF('Job_Topic-Skill_Matrix'!N25=1,Table23[[#Headers],[Topic 10]],""),IF($L$8="Automation",IF('Job_Topic-Skill_Matrix'!N18,Table23[[#Headers],[Topic 10]],""),NA())))))</f>
        <v>Topic 10</v>
      </c>
      <c r="AA8" s="96" t="str">
        <f>(_xlfn.SINGLE(IF($L$8="Statistics",IF(Table23[[#This Row],[Topic 11]]=1,Table23[[#Headers],[Topic 11]],""),IF($L$8="Lean Manufacturing",IF('Job_Topic-Skill_Matrix'!O25=1,Table23[[#Headers],[Topic 11]],""),IF($L$8="Automation",IF('Job_Topic-Skill_Matrix'!O18,Table23[[#Headers],[Topic 11]],""),NA())))))</f>
        <v/>
      </c>
      <c r="AB8" s="96" t="str">
        <f>(_xlfn.SINGLE(IF($L$8="Statistics",IF(Table23[[#This Row],[Topic 12]]=1,Table23[[#Headers],[Topic 12]],""),IF($L$8="Lean Manufacturing",IF('Job_Topic-Skill_Matrix'!P25=1,Table23[[#Headers],[Topic 12]],""),IF($L$8="Automation",IF('Job_Topic-Skill_Matrix'!P18,Table23[[#Headers],[Topic 12]],""),NA())))))</f>
        <v/>
      </c>
      <c r="AC8" s="96" t="str">
        <f>(_xlfn.SINGLE(IF($L$8="Statistics",IF(Table23[[#This Row],[Topic 13]]=1,Table23[[#Headers],[Topic 13]],""),IF($L$8="Lean Manufacturing",IF('Job_Topic-Skill_Matrix'!Q25=1,Table23[[#Headers],[Topic 13]],""),IF($L$8="Automation",IF('Job_Topic-Skill_Matrix'!Q18,Table23[[#Headers],[Topic 13]],""),NA())))))</f>
        <v/>
      </c>
      <c r="AD8" s="96" t="str">
        <f>(_xlfn.SINGLE(IF($L$8="Statistics",IF(Table23[[#This Row],[Topic 14]]=1,Table23[[#Headers],[Topic 14]],""),IF($L$8="Lean Manufacturing",IF('Job_Topic-Skill_Matrix'!R25=1,Table23[[#Headers],[Topic 14]],""),IF($L$8="Automation",IF('Job_Topic-Skill_Matrix'!R18,Table23[[#Headers],[Topic 14]],""),NA())))))</f>
        <v/>
      </c>
      <c r="AE8" s="96" t="str">
        <f>(_xlfn.SINGLE(IF($L$8="Statistics",IF(Table23[[#This Row],[Topic 15]]=1,Table23[[#Headers],[Topic 15]],""),IF($L$8="Lean Manufacturing",IF('Job_Topic-Skill_Matrix'!S25=1,Table23[[#Headers],[Topic 15]],""),IF($L$8="Automation",IF('Job_Topic-Skill_Matrix'!S18,Table23[[#Headers],[Topic 15]],""),NA())))))</f>
        <v/>
      </c>
      <c r="AF8" s="96" t="str">
        <f>(_xlfn.SINGLE(IF($L$8="Statistics",IF(Table23[[#This Row],[Topic 16]]=1,Table23[[#Headers],[Topic 16]],""),IF($L$8="Lean Manufacturing",IF('Job_Topic-Skill_Matrix'!T25=1,Table23[[#Headers],[Topic 16]],""),IF($L$8="Automation",IF('Job_Topic-Skill_Matrix'!T18,Table23[[#Headers],[Topic 16]],""),NA())))))</f>
        <v/>
      </c>
      <c r="AG8" s="96" t="str">
        <f>(_xlfn.SINGLE(IF($L$8="Statistics",IF(Table23[[#This Row],[Topic 17]]=1,Table23[[#Headers],[Topic 17]],""),IF($L$8="Lean Manufacturing",IF('Job_Topic-Skill_Matrix'!U25=1,Table23[[#Headers],[Topic 17]],""),IF($L$8="Automation",IF('Job_Topic-Skill_Matrix'!U18,Table23[[#Headers],[Topic 17]],""),NA())))))</f>
        <v/>
      </c>
      <c r="AH8" s="96" t="str">
        <f>(_xlfn.SINGLE(IF($L$8="Statistics",IF(Table23[[#This Row],[Topic 18]]=1,Table23[[#Headers],[Topic 18]],""),IF($L$8="Lean Manufacturing",IF('Job_Topic-Skill_Matrix'!V25=1,Table23[[#Headers],[Topic 18]],""),IF($L$8="Automation",IF('Job_Topic-Skill_Matrix'!V18,Table23[[#Headers],[Topic 18]],""),NA())))))</f>
        <v/>
      </c>
      <c r="AI8" s="103" t="str">
        <f>(_xlfn.SINGLE(IF($L$8="Statistics",IF(Table23[[#This Row],[Topic 19]]=1,Table23[[#Headers],[Topic 19]],""),IF($L$8="Lean Manufacturing",IF('Job_Topic-Skill_Matrix'!W25=1,Table23[[#Headers],[Topic 19]],""),IF($L$8="Automation",IF('Job_Topic-Skill_Matrix'!W18,Table23[[#Headers],[Topic 19]],""),NA())))))</f>
        <v/>
      </c>
      <c r="AN8" s="106" t="s">
        <v>30</v>
      </c>
      <c r="AO8" s="107"/>
      <c r="AP8" s="107" t="s">
        <v>31</v>
      </c>
      <c r="AQ8" s="43"/>
      <c r="AR8" s="107" t="s">
        <v>32</v>
      </c>
      <c r="AS8" s="107"/>
      <c r="AT8" s="107" t="s">
        <v>33</v>
      </c>
      <c r="AU8" s="107"/>
      <c r="AV8" s="107" t="s">
        <v>34</v>
      </c>
      <c r="AW8" s="107"/>
      <c r="AX8" s="107" t="s">
        <v>35</v>
      </c>
      <c r="AY8" s="107"/>
      <c r="AZ8" s="107" t="s">
        <v>36</v>
      </c>
      <c r="BA8" s="3"/>
      <c r="BB8" s="43" t="s">
        <v>37</v>
      </c>
    </row>
    <row r="9" spans="1:54" ht="15" customHeight="1" x14ac:dyDescent="0.35">
      <c r="G9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>Algorithms</v>
      </c>
      <c r="H9" s="18" t="str">
        <v>Algorithms</v>
      </c>
      <c r="I9" s="66" t="b">
        <v>1</v>
      </c>
      <c r="K9" t="s">
        <v>38</v>
      </c>
      <c r="L9" s="5" t="str">
        <f>IF(I9=TRUE,VLOOKUP(H9,Table23[Skill / Domain Knowledge],1,FALSE),"")</f>
        <v>Algorithms</v>
      </c>
      <c r="P9" s="93" t="str">
        <f>(_xlfn.SINGLE(IF($L$9="Algorithms",IF(Table23[[#This Row],[Topic 0]]=1,Table23[[#Headers],[Topic 0]],""),IF($L$9="Machine Operation",IF('Job_Topic-Skill_Matrix'!D26=1,Table23[[#Headers],[Topic 0]],""),IF($L$9="Cyber Security",IF('Job_Topic-Skill_Matrix'!D39=1,Table23[[#Headers],[Topic 0]],""),IF($L$9="Electronics",IF('Job_Topic-Skill_Matrix'!D49=1,Table23[[#Headers],[Topic 0]],""),NA()))))))</f>
        <v>Topic 0</v>
      </c>
      <c r="Q9" s="96" t="str">
        <f>(_xlfn.SINGLE(IF($L$9="Algorithms",IF(Table23[[#This Row],[Topic 1]]=1,Table23[[#Headers],[Topic 1]],""),IF($L$9="Machine Operation",IF('Job_Topic-Skill_Matrix'!E26=1,Table23[[#Headers],[Topic 1]],""),IF($L$9="Cyber Security",IF('Job_Topic-Skill_Matrix'!E39=1,Table23[[#Headers],[Topic 1]],""),IF($L$9="Electronics",IF('Job_Topic-Skill_Matrix'!E49=1,Table23[[#Headers],[Topic 1]],""),NA()))))))</f>
        <v/>
      </c>
      <c r="R9" s="96" t="str">
        <f>(_xlfn.SINGLE(IF($L$9="Algorithms",IF(Table23[[#This Row],[Topic 2]]=1,Table23[[#Headers],[Topic 2]],""),IF($L$9="Machine Operation",IF('Job_Topic-Skill_Matrix'!F26=1,Table23[[#Headers],[Topic 2]],""),IF($L$9="Cyber Security",IF('Job_Topic-Skill_Matrix'!F39=1,Table23[[#Headers],[Topic 2]],""),IF($L$9="Electronics",IF('Job_Topic-Skill_Matrix'!F49=1,Table23[[#Headers],[Topic 2]],""),NA()))))))</f>
        <v>Topic 2</v>
      </c>
      <c r="S9" s="96" t="str">
        <f>(_xlfn.SINGLE(IF($L$9="Algorithms",IF(Table23[[#This Row],[Topic 3]]=1,Table23[[#Headers],[Topic 3]],""),IF($L$9="Machine Operation",IF('Job_Topic-Skill_Matrix'!G26=1,Table23[[#Headers],[Topic 3]],""),IF($L$9="Cyber Security",IF('Job_Topic-Skill_Matrix'!G39=1,Table23[[#Headers],[Topic 3]],""),IF($L$9="Electronics",IF('Job_Topic-Skill_Matrix'!G49=1,Table23[[#Headers],[Topic 3]],""),NA()))))))</f>
        <v>Topic 3</v>
      </c>
      <c r="T9" s="96" t="str">
        <f>(_xlfn.SINGLE(IF($L$9="Algorithms",IF(Table23[[#This Row],[Topic 4]]=1,Table23[[#Headers],[Topic 4]],""),IF($L$9="Machine Operation",IF('Job_Topic-Skill_Matrix'!H26=1,Table23[[#Headers],[Topic 4]],""),IF($L$9="Cyber Security",IF('Job_Topic-Skill_Matrix'!H39=1,Table23[[#Headers],[Topic 4]],""),IF($L$9="Electronics",IF('Job_Topic-Skill_Matrix'!H49=1,Table23[[#Headers],[Topic 4]],""),NA()))))))</f>
        <v/>
      </c>
      <c r="U9" s="96" t="str">
        <f>(_xlfn.SINGLE(IF($L$9="Algorithms",IF(Table23[[#This Row],[Topic 5]]=1,Table23[[#Headers],[Topic 5]],""),IF($L$9="Machine Operation",IF('Job_Topic-Skill_Matrix'!I26=1,Table23[[#Headers],[Topic 5]],""),IF($L$9="Cyber Security",IF('Job_Topic-Skill_Matrix'!I39=1,Table23[[#Headers],[Topic 5]],""),IF($L$9="Electronics",IF('Job_Topic-Skill_Matrix'!I49=1,Table23[[#Headers],[Topic 5]],""),NA()))))))</f>
        <v/>
      </c>
      <c r="V9" s="96" t="str">
        <f>(_xlfn.SINGLE(IF($L$9="Algorithms",IF(Table23[[#This Row],[Topic 6]]=1,Table23[[#Headers],[Topic 6]],""),IF($L$9="Machine Operation",IF('Job_Topic-Skill_Matrix'!J26=1,Table23[[#Headers],[Topic 6]],""),IF($L$9="Cyber Security",IF('Job_Topic-Skill_Matrix'!J39=1,Table23[[#Headers],[Topic 6]],""),IF($L$9="Electronics",IF('Job_Topic-Skill_Matrix'!J49=1,Table23[[#Headers],[Topic 6]],""),NA()))))))</f>
        <v>Topic 6</v>
      </c>
      <c r="W9" s="96" t="str">
        <f>(_xlfn.SINGLE(IF($L$9="Algorithms",IF(Table23[[#This Row],[Topic 7]]=1,Table23[[#Headers],[Topic 7]],""),IF($L$9="Machine Operation",IF('Job_Topic-Skill_Matrix'!K26=1,Table23[[#Headers],[Topic 7]],""),IF($L$9="Cyber Security",IF('Job_Topic-Skill_Matrix'!K39=1,Table23[[#Headers],[Topic 7]],""),IF($L$9="Electronics",IF('Job_Topic-Skill_Matrix'!K49=1,Table23[[#Headers],[Topic 7]],""),NA()))))))</f>
        <v>Topic 7</v>
      </c>
      <c r="X9" s="96" t="str">
        <f>(_xlfn.SINGLE(IF($L$9="Algorithms",IF(Table23[[#This Row],[Topic 8]]=1,Table23[[#Headers],[Topic 8]],""),IF($L$9="Machine Operation",IF('Job_Topic-Skill_Matrix'!L26=1,Table23[[#Headers],[Topic 8]],""),IF($L$9="Cyber Security",IF('Job_Topic-Skill_Matrix'!L39=1,Table23[[#Headers],[Topic 8]],""),IF($L$9="Electronics",IF('Job_Topic-Skill_Matrix'!L49=1,Table23[[#Headers],[Topic 8]],""),NA()))))))</f>
        <v>Topic 8</v>
      </c>
      <c r="Y9" s="96" t="str">
        <f>(_xlfn.SINGLE(IF($L$9="Algorithms",IF(Table23[[#This Row],[Topic 9]]=1,Table23[[#Headers],[Topic 9]],""),IF($L$9="Machine Operation",IF('Job_Topic-Skill_Matrix'!M26=1,Table23[[#Headers],[Topic 9]],""),IF($L$9="Cyber Security",IF('Job_Topic-Skill_Matrix'!M39=1,Table23[[#Headers],[Topic 9]],""),IF($L$9="Electronics",IF('Job_Topic-Skill_Matrix'!M49=1,Table23[[#Headers],[Topic 9]],""),NA()))))))</f>
        <v/>
      </c>
      <c r="Z9" s="96" t="str">
        <f>(_xlfn.SINGLE(IF($L$9="Algorithms",IF(Table23[[#This Row],[Topic 10]]=1,Table23[[#Headers],[Topic 10]],""),IF($L$9="Machine Operation",IF('Job_Topic-Skill_Matrix'!N26=1,Table23[[#Headers],[Topic 10]],""),IF($L$9="Cyber Security",IF('Job_Topic-Skill_Matrix'!N39=1,Table23[[#Headers],[Topic 10]],""),IF($L$9="Electronics",IF('Job_Topic-Skill_Matrix'!N49=1,Table23[[#Headers],[Topic 10]],""),NA()))))))</f>
        <v/>
      </c>
      <c r="AA9" s="96" t="str">
        <f>(_xlfn.SINGLE(IF($L$9="Algorithms",IF(Table23[[#This Row],[Topic 11]]=1,Table23[[#Headers],[Topic 11]],""),IF($L$9="Machine Operation",IF('Job_Topic-Skill_Matrix'!O26=1,Table23[[#Headers],[Topic 11]],""),IF($L$9="Cyber Security",IF('Job_Topic-Skill_Matrix'!O39=1,Table23[[#Headers],[Topic 11]],""),IF($L$9="Electronics",IF('Job_Topic-Skill_Matrix'!O49=1,Table23[[#Headers],[Topic 11]],""),NA()))))))</f>
        <v>Topic 11</v>
      </c>
      <c r="AB9" s="96" t="str">
        <f>(_xlfn.SINGLE(IF($L$9="Algorithms",IF(Table23[[#This Row],[Topic 12]]=1,Table23[[#Headers],[Topic 12]],""),IF($L$9="Machine Operation",IF('Job_Topic-Skill_Matrix'!P26=1,Table23[[#Headers],[Topic 12]],""),IF($L$9="Cyber Security",IF('Job_Topic-Skill_Matrix'!P39=1,Table23[[#Headers],[Topic 12]],""),IF($L$9="Electronics",IF('Job_Topic-Skill_Matrix'!P49=1,Table23[[#Headers],[Topic 12]],""),NA()))))))</f>
        <v/>
      </c>
      <c r="AC9" s="96" t="str">
        <f>(_xlfn.SINGLE(IF($L$9="Algorithms",IF(Table23[[#This Row],[Topic 13]]=1,Table23[[#Headers],[Topic 13]],""),IF($L$9="Machine Operation",IF('Job_Topic-Skill_Matrix'!Q26=1,Table23[[#Headers],[Topic 13]],""),IF($L$9="Cyber Security",IF('Job_Topic-Skill_Matrix'!Q39=1,Table23[[#Headers],[Topic 13]],""),IF($L$9="Electronics",IF('Job_Topic-Skill_Matrix'!Q49=1,Table23[[#Headers],[Topic 13]],""),NA()))))))</f>
        <v>Topic 13</v>
      </c>
      <c r="AD9" s="96" t="str">
        <f>(_xlfn.SINGLE(IF($L$9="Algorithms",IF(Table23[[#This Row],[Topic 14]]=1,Table23[[#Headers],[Topic 14]],""),IF($L$9="Machine Operation",IF('Job_Topic-Skill_Matrix'!R26=1,Table23[[#Headers],[Topic 14]],""),IF($L$9="Cyber Security",IF('Job_Topic-Skill_Matrix'!R39=1,Table23[[#Headers],[Topic 14]],""),IF($L$9="Electronics",IF('Job_Topic-Skill_Matrix'!R49=1,Table23[[#Headers],[Topic 14]],""),NA()))))))</f>
        <v/>
      </c>
      <c r="AE9" s="96" t="str">
        <f>(_xlfn.SINGLE(IF($L$9="Algorithms",IF(Table23[[#This Row],[Topic 15]]=1,Table23[[#Headers],[Topic 15]],""),IF($L$9="Machine Operation",IF('Job_Topic-Skill_Matrix'!S26=1,Table23[[#Headers],[Topic 15]],""),IF($L$9="Cyber Security",IF('Job_Topic-Skill_Matrix'!S39=1,Table23[[#Headers],[Topic 15]],""),IF($L$9="Electronics",IF('Job_Topic-Skill_Matrix'!S49=1,Table23[[#Headers],[Topic 15]],""),NA()))))))</f>
        <v>Topic 15</v>
      </c>
      <c r="AF9" s="96" t="str">
        <f>(_xlfn.SINGLE(IF($L$9="Algorithms",IF(Table23[[#This Row],[Topic 16]]=1,Table23[[#Headers],[Topic 16]],""),IF($L$9="Machine Operation",IF('Job_Topic-Skill_Matrix'!T26=1,Table23[[#Headers],[Topic 16]],""),IF($L$9="Cyber Security",IF('Job_Topic-Skill_Matrix'!T39=1,Table23[[#Headers],[Topic 16]],""),IF($L$9="Electronics",IF('Job_Topic-Skill_Matrix'!T49=1,Table23[[#Headers],[Topic 16]],""),NA()))))))</f>
        <v/>
      </c>
      <c r="AG9" s="96" t="str">
        <f>(_xlfn.SINGLE(IF($L$9="Algorithms",IF(Table23[[#This Row],[Topic 17]]=1,Table23[[#Headers],[Topic 17]],""),IF($L$9="Machine Operation",IF('Job_Topic-Skill_Matrix'!U26=1,Table23[[#Headers],[Topic 17]],""),IF($L$9="Cyber Security",IF('Job_Topic-Skill_Matrix'!U39=1,Table23[[#Headers],[Topic 17]],""),IF($L$9="Electronics",IF('Job_Topic-Skill_Matrix'!U49=1,Table23[[#Headers],[Topic 17]],""),NA()))))))</f>
        <v/>
      </c>
      <c r="AH9" s="96" t="str">
        <f>(_xlfn.SINGLE(IF($L$9="Algorithms",IF(Table23[[#This Row],[Topic 18]]=1,Table23[[#Headers],[Topic 18]],""),IF($L$9="Machine Operation",IF('Job_Topic-Skill_Matrix'!V26=1,Table23[[#Headers],[Topic 18]],""),IF($L$9="Cyber Security",IF('Job_Topic-Skill_Matrix'!V39=1,Table23[[#Headers],[Topic 18]],""),IF($L$9="Electronics",IF('Job_Topic-Skill_Matrix'!V49=1,Table23[[#Headers],[Topic 18]],""),NA()))))))</f>
        <v/>
      </c>
      <c r="AI9" s="103" t="str">
        <f>(_xlfn.SINGLE(IF($L$9="Algorithms",IF(Table23[[#This Row],[Topic 19]]=1,Table23[[#Headers],[Topic 19]],""),IF($L$9="Machine Operation",IF('Job_Topic-Skill_Matrix'!W26=1,Table23[[#Headers],[Topic 19]],""),IF($L$9="Cyber Security",IF('Job_Topic-Skill_Matrix'!W39=1,Table23[[#Headers],[Topic 19]],""),IF($L$9="Electronics",IF('Job_Topic-Skill_Matrix'!W49=1,Table23[[#Headers],[Topic 19]],""),NA()))))))</f>
        <v/>
      </c>
      <c r="AN9" s="106" t="s">
        <v>39</v>
      </c>
      <c r="AO9" s="107"/>
      <c r="AP9" s="107" t="s">
        <v>40</v>
      </c>
      <c r="AQ9" s="43"/>
      <c r="AR9" s="107" t="s">
        <v>284</v>
      </c>
      <c r="AS9" s="107"/>
      <c r="AT9" s="107" t="s">
        <v>41</v>
      </c>
      <c r="AU9" s="107"/>
      <c r="AV9" s="107" t="s">
        <v>42</v>
      </c>
      <c r="AW9" s="107"/>
      <c r="AX9" s="107" t="s">
        <v>43</v>
      </c>
      <c r="AY9" s="107"/>
      <c r="AZ9" s="107" t="s">
        <v>44</v>
      </c>
      <c r="BA9" s="3"/>
      <c r="BB9" s="43" t="s">
        <v>45</v>
      </c>
    </row>
    <row r="10" spans="1:54" ht="15" customHeight="1" x14ac:dyDescent="0.35">
      <c r="B10" s="119" t="s">
        <v>280</v>
      </c>
      <c r="C10" s="119"/>
      <c r="D10" s="119"/>
      <c r="E10" s="119"/>
      <c r="G10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>Data Engineering</v>
      </c>
      <c r="H10" s="18" t="str">
        <v>Data Engineering</v>
      </c>
      <c r="I10" s="66" t="b">
        <v>1</v>
      </c>
      <c r="K10" t="s">
        <v>46</v>
      </c>
      <c r="L10" s="5" t="str">
        <f>IF(I10=TRUE,VLOOKUP(H10,Table23[Skill / Domain Knowledge],1,FALSE),"")</f>
        <v>Data Engineering</v>
      </c>
      <c r="P10" s="93" t="str">
        <f>(_xlfn.SINGLE(IF($L$10="Data Engineering",IF(Table23[[#This Row],[Topic 0]]=1,Table23[[#Headers],[Topic 0]],""),IF($L$10="Continuous Improvement Process",IF('Job_Topic-Skill_Matrix'!D27=1,Table23[[#Headers],[Topic 0]],""),IF($L$10="Firewall",IF('Job_Topic-Skill_Matrix'!D40=1,Table23[[#Headers],[Topic 0]],""),IF($L$10="Simulations",IF('Job_Topic-Skill_Matrix'!D50=1,Table23[[#Headers],[Topic 0]],""),NA()))))))</f>
        <v/>
      </c>
      <c r="Q10" s="96" t="str">
        <f>(_xlfn.SINGLE(IF($L$10="Data Engineering",IF(Table23[[#This Row],[Topic 1]]=1,Table23[[#Headers],[Topic 1]],""),IF($L$10="Continuous Improvement Process",IF('Job_Topic-Skill_Matrix'!E27=1,Table23[[#Headers],[Topic 1]],""),IF($L$10="Firewall",IF('Job_Topic-Skill_Matrix'!E40=1,Table23[[#Headers],[Topic 1]],""),IF($L$10="Simulations",IF('Job_Topic-Skill_Matrix'!E50=1,Table23[[#Headers],[Topic 1]],""),NA()))))))</f>
        <v/>
      </c>
      <c r="R10" s="96" t="str">
        <f>(_xlfn.SINGLE(IF($L$10="Data Engineering",IF(Table23[[#This Row],[Topic 2]]=1,Table23[[#Headers],[Topic 2]],""),IF($L$10="Continuous Improvement Process",IF('Job_Topic-Skill_Matrix'!F27=1,Table23[[#Headers],[Topic 2]],""),IF($L$10="Firewall",IF('Job_Topic-Skill_Matrix'!F40=1,Table23[[#Headers],[Topic 2]],""),IF($L$10="Simulations",IF('Job_Topic-Skill_Matrix'!F50=1,Table23[[#Headers],[Topic 2]],""),NA()))))))</f>
        <v>Topic 2</v>
      </c>
      <c r="S10" s="96" t="str">
        <f>(_xlfn.SINGLE(IF($L$10="Data Engineering",IF(Table23[[#This Row],[Topic 3]]=1,Table23[[#Headers],[Topic 3]],""),IF($L$10="Continuous Improvement Process",IF('Job_Topic-Skill_Matrix'!G27=1,Table23[[#Headers],[Topic 3]],""),IF($L$10="Firewall",IF('Job_Topic-Skill_Matrix'!G40=1,Table23[[#Headers],[Topic 3]],""),IF($L$10="Simulations",IF('Job_Topic-Skill_Matrix'!G50=1,Table23[[#Headers],[Topic 3]],""),NA()))))))</f>
        <v>Topic 3</v>
      </c>
      <c r="T10" s="96" t="str">
        <f>(_xlfn.SINGLE(IF($L$10="Data Engineering",IF(Table23[[#This Row],[Topic 4]]=1,Table23[[#Headers],[Topic 4]],""),IF($L$10="Continuous Improvement Process",IF('Job_Topic-Skill_Matrix'!H27=1,Table23[[#Headers],[Topic 4]],""),IF($L$10="Firewall",IF('Job_Topic-Skill_Matrix'!H40=1,Table23[[#Headers],[Topic 4]],""),IF($L$10="Simulations",IF('Job_Topic-Skill_Matrix'!H50=1,Table23[[#Headers],[Topic 4]],""),NA()))))))</f>
        <v>Topic 4</v>
      </c>
      <c r="U10" s="96" t="str">
        <f>(_xlfn.SINGLE(IF($L$10="Data Engineering",IF(Table23[[#This Row],[Topic 5]]=1,Table23[[#Headers],[Topic 5]],""),IF($L$10="Continuous Improvement Process",IF('Job_Topic-Skill_Matrix'!I27=1,Table23[[#Headers],[Topic 5]],""),IF($L$10="Firewall",IF('Job_Topic-Skill_Matrix'!I40=1,Table23[[#Headers],[Topic 5]],""),IF($L$10="Simulations",IF('Job_Topic-Skill_Matrix'!I50=1,Table23[[#Headers],[Topic 5]],""),NA()))))))</f>
        <v/>
      </c>
      <c r="V10" s="96" t="str">
        <f>(_xlfn.SINGLE(IF($L$10="Data Engineering",IF(Table23[[#This Row],[Topic 6]]=1,Table23[[#Headers],[Topic 6]],""),IF($L$10="Continuous Improvement Process",IF('Job_Topic-Skill_Matrix'!J27=1,Table23[[#Headers],[Topic 6]],""),IF($L$10="Firewall",IF('Job_Topic-Skill_Matrix'!J40=1,Table23[[#Headers],[Topic 6]],""),IF($L$10="Simulations",IF('Job_Topic-Skill_Matrix'!J50=1,Table23[[#Headers],[Topic 6]],""),NA()))))))</f>
        <v/>
      </c>
      <c r="W10" s="96" t="str">
        <f>(_xlfn.SINGLE(IF($L$10="Data Engineering",IF(Table23[[#This Row],[Topic 7]]=1,Table23[[#Headers],[Topic 7]],""),IF($L$10="Continuous Improvement Process",IF('Job_Topic-Skill_Matrix'!K27=1,Table23[[#Headers],[Topic 7]],""),IF($L$10="Firewall",IF('Job_Topic-Skill_Matrix'!K40=1,Table23[[#Headers],[Topic 7]],""),IF($L$10="Simulations",IF('Job_Topic-Skill_Matrix'!K50=1,Table23[[#Headers],[Topic 7]],""),NA()))))))</f>
        <v/>
      </c>
      <c r="X10" s="96" t="str">
        <f>(_xlfn.SINGLE(IF($L$10="Data Engineering",IF(Table23[[#This Row],[Topic 8]]=1,Table23[[#Headers],[Topic 8]],""),IF($L$10="Continuous Improvement Process",IF('Job_Topic-Skill_Matrix'!L27=1,Table23[[#Headers],[Topic 8]],""),IF($L$10="Firewall",IF('Job_Topic-Skill_Matrix'!L40=1,Table23[[#Headers],[Topic 8]],""),IF($L$10="Simulations",IF('Job_Topic-Skill_Matrix'!L50=1,Table23[[#Headers],[Topic 8]],""),NA()))))))</f>
        <v/>
      </c>
      <c r="Y10" s="96" t="str">
        <f>(_xlfn.SINGLE(IF($L$10="Data Engineering",IF(Table23[[#This Row],[Topic 9]]=1,Table23[[#Headers],[Topic 9]],""),IF($L$10="Continuous Improvement Process",IF('Job_Topic-Skill_Matrix'!M27=1,Table23[[#Headers],[Topic 9]],""),IF($L$10="Firewall",IF('Job_Topic-Skill_Matrix'!M40=1,Table23[[#Headers],[Topic 9]],""),IF($L$10="Simulations",IF('Job_Topic-Skill_Matrix'!M50=1,Table23[[#Headers],[Topic 9]],""),NA()))))))</f>
        <v>Topic 9</v>
      </c>
      <c r="Z10" s="96" t="str">
        <f>(_xlfn.SINGLE(IF($L$10="Data Engineering",IF(Table23[[#This Row],[Topic 10]]=1,Table23[[#Headers],[Topic 10]],""),IF($L$10="Continuous Improvement Process",IF('Job_Topic-Skill_Matrix'!N27=1,Table23[[#Headers],[Topic 10]],""),IF($L$10="Firewall",IF('Job_Topic-Skill_Matrix'!N40=1,Table23[[#Headers],[Topic 10]],""),IF($L$10="Simulations",IF('Job_Topic-Skill_Matrix'!N50=1,Table23[[#Headers],[Topic 10]],""),NA()))))))</f>
        <v>Topic 10</v>
      </c>
      <c r="AA10" s="96" t="str">
        <f>(_xlfn.SINGLE(IF($L$10="Data Engineering",IF(Table23[[#This Row],[Topic 11]]=1,Table23[[#Headers],[Topic 11]],""),IF($L$10="Continuous Improvement Process",IF('Job_Topic-Skill_Matrix'!O27=1,Table23[[#Headers],[Topic 11]],""),IF($L$10="Firewall",IF('Job_Topic-Skill_Matrix'!O40=1,Table23[[#Headers],[Topic 11]],""),IF($L$10="Simulations",IF('Job_Topic-Skill_Matrix'!O50=1,Table23[[#Headers],[Topic 11]],""),NA()))))))</f>
        <v/>
      </c>
      <c r="AB10" s="96" t="str">
        <f>(_xlfn.SINGLE(IF($L$10="Data Engineering",IF(Table23[[#This Row],[Topic 12]]=1,Table23[[#Headers],[Topic 12]],""),IF($L$10="Continuous Improvement Process",IF('Job_Topic-Skill_Matrix'!P27=1,Table23[[#Headers],[Topic 12]],""),IF($L$10="Firewall",IF('Job_Topic-Skill_Matrix'!P40=1,Table23[[#Headers],[Topic 12]],""),IF($L$10="Simulations",IF('Job_Topic-Skill_Matrix'!P50=1,Table23[[#Headers],[Topic 12]],""),NA()))))))</f>
        <v>Topic 12</v>
      </c>
      <c r="AC10" s="96" t="str">
        <f>(_xlfn.SINGLE(IF($L$10="Data Engineering",IF(Table23[[#This Row],[Topic 13]]=1,Table23[[#Headers],[Topic 13]],""),IF($L$10="Continuous Improvement Process",IF('Job_Topic-Skill_Matrix'!Q27=1,Table23[[#Headers],[Topic 13]],""),IF($L$10="Firewall",IF('Job_Topic-Skill_Matrix'!Q40=1,Table23[[#Headers],[Topic 13]],""),IF($L$10="Simulations",IF('Job_Topic-Skill_Matrix'!Q50=1,Table23[[#Headers],[Topic 13]],""),NA()))))))</f>
        <v/>
      </c>
      <c r="AD10" s="96" t="str">
        <f>(_xlfn.SINGLE(IF($L$10="Data Engineering",IF(Table23[[#This Row],[Topic 14]]=1,Table23[[#Headers],[Topic 14]],""),IF($L$10="Continuous Improvement Process",IF('Job_Topic-Skill_Matrix'!R27=1,Table23[[#Headers],[Topic 14]],""),IF($L$10="Firewall",IF('Job_Topic-Skill_Matrix'!R40=1,Table23[[#Headers],[Topic 14]],""),IF($L$10="Simulations",IF('Job_Topic-Skill_Matrix'!R50=1,Table23[[#Headers],[Topic 14]],""),NA()))))))</f>
        <v/>
      </c>
      <c r="AE10" s="96" t="str">
        <f>(_xlfn.SINGLE(IF($L$10="Data Engineering",IF(Table23[[#This Row],[Topic 15]]=1,Table23[[#Headers],[Topic 15]],""),IF($L$10="Continuous Improvement Process",IF('Job_Topic-Skill_Matrix'!S27=1,Table23[[#Headers],[Topic 15]],""),IF($L$10="Firewall",IF('Job_Topic-Skill_Matrix'!S40=1,Table23[[#Headers],[Topic 15]],""),IF($L$10="Simulations",IF('Job_Topic-Skill_Matrix'!S50=1,Table23[[#Headers],[Topic 15]],""),NA()))))))</f>
        <v/>
      </c>
      <c r="AF10" s="96" t="str">
        <f>(_xlfn.SINGLE(IF($L$10="Data Engineering",IF(Table23[[#This Row],[Topic 16]]=1,Table23[[#Headers],[Topic 16]],""),IF($L$10="Continuous Improvement Process",IF('Job_Topic-Skill_Matrix'!T27=1,Table23[[#Headers],[Topic 16]],""),IF($L$10="Firewall",IF('Job_Topic-Skill_Matrix'!T40=1,Table23[[#Headers],[Topic 16]],""),IF($L$10="Simulations",IF('Job_Topic-Skill_Matrix'!T50=1,Table23[[#Headers],[Topic 16]],""),NA()))))))</f>
        <v>Topic 16</v>
      </c>
      <c r="AG10" s="96" t="str">
        <f>(_xlfn.SINGLE(IF($L$10="Data Engineering",IF(Table23[[#This Row],[Topic 17]]=1,Table23[[#Headers],[Topic 17]],""),IF($L$10="Continuous Improvement Process",IF('Job_Topic-Skill_Matrix'!U27=1,Table23[[#Headers],[Topic 17]],""),IF($L$10="Firewall",IF('Job_Topic-Skill_Matrix'!U40=1,Table23[[#Headers],[Topic 17]],""),IF($L$10="Simulations",IF('Job_Topic-Skill_Matrix'!U50=1,Table23[[#Headers],[Topic 17]],""),NA()))))))</f>
        <v/>
      </c>
      <c r="AH10" s="96" t="str">
        <f>(_xlfn.SINGLE(IF($L$10="Data Engineering",IF(Table23[[#This Row],[Topic 18]]=1,Table23[[#Headers],[Topic 18]],""),IF($L$10="Continuous Improvement Process",IF('Job_Topic-Skill_Matrix'!V27=1,Table23[[#Headers],[Topic 18]],""),IF($L$10="Firewall",IF('Job_Topic-Skill_Matrix'!V40=1,Table23[[#Headers],[Topic 18]],""),IF($L$10="Simulations",IF('Job_Topic-Skill_Matrix'!V50=1,Table23[[#Headers],[Topic 18]],""),NA()))))))</f>
        <v/>
      </c>
      <c r="AI10" s="103" t="str">
        <f>(_xlfn.SINGLE(IF($L$10="Data Engineering",IF(Table23[[#This Row],[Topic 19]]=1,Table23[[#Headers],[Topic 19]],""),IF($L$10="Continuous Improvement Process",IF('Job_Topic-Skill_Matrix'!W27=1,Table23[[#Headers],[Topic 19]],""),IF($L$10="Firewall",IF('Job_Topic-Skill_Matrix'!W40=1,Table23[[#Headers],[Topic 19]],""),IF($L$10="Simulations",IF('Job_Topic-Skill_Matrix'!W50=1,Table23[[#Headers],[Topic 19]],""),NA()))))))</f>
        <v>Topic 19</v>
      </c>
      <c r="AM10" s="14"/>
      <c r="AN10" s="106" t="s">
        <v>47</v>
      </c>
      <c r="AO10" s="107"/>
      <c r="AP10" s="107" t="s">
        <v>48</v>
      </c>
      <c r="AQ10" s="43"/>
      <c r="AR10" s="107" t="s">
        <v>49</v>
      </c>
      <c r="AS10" s="107"/>
      <c r="AT10" s="107" t="s">
        <v>50</v>
      </c>
      <c r="AU10" s="107"/>
      <c r="AV10" s="107" t="s">
        <v>51</v>
      </c>
      <c r="AW10" s="107"/>
      <c r="AX10" s="107" t="s">
        <v>52</v>
      </c>
      <c r="AY10" s="107"/>
      <c r="AZ10" s="107" t="s">
        <v>53</v>
      </c>
      <c r="BA10" s="3"/>
      <c r="BB10" s="43" t="s">
        <v>54</v>
      </c>
    </row>
    <row r="11" spans="1:54" ht="15" customHeight="1" x14ac:dyDescent="0.35">
      <c r="B11" s="119"/>
      <c r="C11" s="119"/>
      <c r="D11" s="119"/>
      <c r="E11" s="119"/>
      <c r="G11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>Data Modeling</v>
      </c>
      <c r="H11" s="18" t="str">
        <v>Data Modeling</v>
      </c>
      <c r="I11" s="66" t="b">
        <v>1</v>
      </c>
      <c r="K11" t="s">
        <v>58</v>
      </c>
      <c r="L11" s="5" t="str">
        <f>IF(I11=TRUE,VLOOKUP(H11,Table23[Skill / Domain Knowledge],1,FALSE),"")</f>
        <v>Data Modeling</v>
      </c>
      <c r="P11" s="93" t="str">
        <f>(_xlfn.SINGLE(IF($L$11="Data Modeling",IF(Table23[[#This Row],[Topic 0]]=1,Table23[[#Headers],[Topic 0]],""),IF($L$11="Process Engineering",IF('Job_Topic-Skill_Matrix'!D28=1,Table23[[#Headers],[Topic 0]],""),IF($L$11="Software Development Life Cycle",IF('Job_Topic-Skill_Matrix'!D41=1,Table23[[#Headers],[Topic 0]],""),IF($L$11="Signal Processing",IF('Job_Topic-Skill_Matrix'!D51=1,Table23[[#Headers],[Topic 0]],""),NA()))))))</f>
        <v/>
      </c>
      <c r="Q11" s="96" t="str">
        <f>(_xlfn.SINGLE(IF($L$11="Data Modeling",IF(Table23[[#This Row],[Topic 1]]=1,Table23[[#Headers],[Topic 1]],""),IF($L$11="Process Engineering",IF('Job_Topic-Skill_Matrix'!E28=1,Table23[[#Headers],[Topic 1]],""),IF($L$11="Software Development Life Cycle",IF('Job_Topic-Skill_Matrix'!E41=1,Table23[[#Headers],[Topic 1]],""),IF($L$11="Signal Processing",IF('Job_Topic-Skill_Matrix'!E51=1,Table23[[#Headers],[Topic 1]],""),NA()))))))</f>
        <v/>
      </c>
      <c r="R11" s="96" t="str">
        <f>(_xlfn.SINGLE(IF($L$11="Data Modeling",IF(Table23[[#This Row],[Topic 2]]=1,Table23[[#Headers],[Topic 2]],""),IF($L$11="Process Engineering",IF('Job_Topic-Skill_Matrix'!F28=1,Table23[[#Headers],[Topic 2]],""),IF($L$11="Software Development Life Cycle",IF('Job_Topic-Skill_Matrix'!F41=1,Table23[[#Headers],[Topic 2]],""),IF($L$11="Signal Processing",IF('Job_Topic-Skill_Matrix'!F51=1,Table23[[#Headers],[Topic 2]],""),NA()))))))</f>
        <v>Topic 2</v>
      </c>
      <c r="S11" s="96" t="str">
        <f>(_xlfn.SINGLE(IF($L$11="Data Modeling",IF(Table23[[#This Row],[Topic 3]]=1,Table23[[#Headers],[Topic 3]],""),IF($L$11="Process Engineering",IF('Job_Topic-Skill_Matrix'!G28=1,Table23[[#Headers],[Topic 3]],""),IF($L$11="Software Development Life Cycle",IF('Job_Topic-Skill_Matrix'!G41=1,Table23[[#Headers],[Topic 3]],""),IF($L$11="Signal Processing",IF('Job_Topic-Skill_Matrix'!G51=1,Table23[[#Headers],[Topic 3]],""),NA()))))))</f>
        <v>Topic 3</v>
      </c>
      <c r="T11" s="96" t="str">
        <f>(_xlfn.SINGLE(IF($L$11="Data Modeling",IF(Table23[[#This Row],[Topic 4]]=1,Table23[[#Headers],[Topic 4]],""),IF($L$11="Process Engineering",IF('Job_Topic-Skill_Matrix'!H28=1,Table23[[#Headers],[Topic 4]],""),IF($L$11="Software Development Life Cycle",IF('Job_Topic-Skill_Matrix'!H41=1,Table23[[#Headers],[Topic 4]],""),IF($L$11="Signal Processing",IF('Job_Topic-Skill_Matrix'!H51=1,Table23[[#Headers],[Topic 4]],""),NA()))))))</f>
        <v>Topic 4</v>
      </c>
      <c r="U11" s="96" t="str">
        <f>(_xlfn.SINGLE(IF($L$11="Data Modeling",IF(Table23[[#This Row],[Topic 5]]=1,Table23[[#Headers],[Topic 5]],""),IF($L$11="Process Engineering",IF('Job_Topic-Skill_Matrix'!I28=1,Table23[[#Headers],[Topic 5]],""),IF($L$11="Software Development Life Cycle",IF('Job_Topic-Skill_Matrix'!I41=1,Table23[[#Headers],[Topic 5]],""),IF($L$11="Signal Processing",IF('Job_Topic-Skill_Matrix'!I51=1,Table23[[#Headers],[Topic 5]],""),NA()))))))</f>
        <v>Topic 5</v>
      </c>
      <c r="V11" s="96" t="str">
        <f>(_xlfn.SINGLE(IF($L$11="Data Modeling",IF(Table23[[#This Row],[Topic 6]]=1,Table23[[#Headers],[Topic 6]],""),IF($L$11="Process Engineering",IF('Job_Topic-Skill_Matrix'!J28=1,Table23[[#Headers],[Topic 6]],""),IF($L$11="Software Development Life Cycle",IF('Job_Topic-Skill_Matrix'!J41=1,Table23[[#Headers],[Topic 6]],""),IF($L$11="Signal Processing",IF('Job_Topic-Skill_Matrix'!J51=1,Table23[[#Headers],[Topic 6]],""),NA()))))))</f>
        <v>Topic 6</v>
      </c>
      <c r="W11" s="96" t="str">
        <f>(_xlfn.SINGLE(IF($L$11="Data Modeling",IF(Table23[[#This Row],[Topic 7]]=1,Table23[[#Headers],[Topic 7]],""),IF($L$11="Process Engineering",IF('Job_Topic-Skill_Matrix'!K28=1,Table23[[#Headers],[Topic 7]],""),IF($L$11="Software Development Life Cycle",IF('Job_Topic-Skill_Matrix'!K41=1,Table23[[#Headers],[Topic 7]],""),IF($L$11="Signal Processing",IF('Job_Topic-Skill_Matrix'!K51=1,Table23[[#Headers],[Topic 7]],""),NA()))))))</f>
        <v/>
      </c>
      <c r="X11" s="96" t="str">
        <f>(_xlfn.SINGLE(IF($L$11="Data Modeling",IF(Table23[[#This Row],[Topic 8]]=1,Table23[[#Headers],[Topic 8]],""),IF($L$11="Process Engineering",IF('Job_Topic-Skill_Matrix'!L28=1,Table23[[#Headers],[Topic 8]],""),IF($L$11="Software Development Life Cycle",IF('Job_Topic-Skill_Matrix'!L41=1,Table23[[#Headers],[Topic 8]],""),IF($L$11="Signal Processing",IF('Job_Topic-Skill_Matrix'!L51=1,Table23[[#Headers],[Topic 8]],""),NA()))))))</f>
        <v>Topic 8</v>
      </c>
      <c r="Y11" s="96" t="str">
        <f>(_xlfn.SINGLE(IF($L$11="Data Modeling",IF(Table23[[#This Row],[Topic 9]]=1,Table23[[#Headers],[Topic 9]],""),IF($L$11="Process Engineering",IF('Job_Topic-Skill_Matrix'!M28=1,Table23[[#Headers],[Topic 9]],""),IF($L$11="Software Development Life Cycle",IF('Job_Topic-Skill_Matrix'!M41=1,Table23[[#Headers],[Topic 9]],""),IF($L$11="Signal Processing",IF('Job_Topic-Skill_Matrix'!M51=1,Table23[[#Headers],[Topic 9]],""),NA()))))))</f>
        <v>Topic 9</v>
      </c>
      <c r="Z11" s="96" t="str">
        <f>(_xlfn.SINGLE(IF($L$11="Data Modeling",IF(Table23[[#This Row],[Topic 10]]=1,Table23[[#Headers],[Topic 10]],""),IF($L$11="Process Engineering",IF('Job_Topic-Skill_Matrix'!N28=1,Table23[[#Headers],[Topic 10]],""),IF($L$11="Software Development Life Cycle",IF('Job_Topic-Skill_Matrix'!N41=1,Table23[[#Headers],[Topic 10]],""),IF($L$11="Signal Processing",IF('Job_Topic-Skill_Matrix'!N51=1,Table23[[#Headers],[Topic 10]],""),NA()))))))</f>
        <v>Topic 10</v>
      </c>
      <c r="AA11" s="96" t="str">
        <f>(_xlfn.SINGLE(IF($L$11="Data Modeling",IF(Table23[[#This Row],[Topic 11]]=1,Table23[[#Headers],[Topic 11]],""),IF($L$11="Process Engineering",IF('Job_Topic-Skill_Matrix'!O28=1,Table23[[#Headers],[Topic 11]],""),IF($L$11="Software Development Life Cycle",IF('Job_Topic-Skill_Matrix'!O41=1,Table23[[#Headers],[Topic 11]],""),IF($L$11="Signal Processing",IF('Job_Topic-Skill_Matrix'!O51=1,Table23[[#Headers],[Topic 11]],""),NA()))))))</f>
        <v/>
      </c>
      <c r="AB11" s="96" t="str">
        <f>(_xlfn.SINGLE(IF($L$11="Data Modeling",IF(Table23[[#This Row],[Topic 12]]=1,Table23[[#Headers],[Topic 12]],""),IF($L$11="Process Engineering",IF('Job_Topic-Skill_Matrix'!P28=1,Table23[[#Headers],[Topic 12]],""),IF($L$11="Software Development Life Cycle",IF('Job_Topic-Skill_Matrix'!P41=1,Table23[[#Headers],[Topic 12]],""),IF($L$11="Signal Processing",IF('Job_Topic-Skill_Matrix'!P51=1,Table23[[#Headers],[Topic 12]],""),NA()))))))</f>
        <v>Topic 12</v>
      </c>
      <c r="AC11" s="96" t="str">
        <f>(_xlfn.SINGLE(IF($L$11="Data Modeling",IF(Table23[[#This Row],[Topic 13]]=1,Table23[[#Headers],[Topic 13]],""),IF($L$11="Process Engineering",IF('Job_Topic-Skill_Matrix'!Q28=1,Table23[[#Headers],[Topic 13]],""),IF($L$11="Software Development Life Cycle",IF('Job_Topic-Skill_Matrix'!Q41=1,Table23[[#Headers],[Topic 13]],""),IF($L$11="Signal Processing",IF('Job_Topic-Skill_Matrix'!Q51=1,Table23[[#Headers],[Topic 13]],""),NA()))))))</f>
        <v/>
      </c>
      <c r="AD11" s="96" t="str">
        <f>(_xlfn.SINGLE(IF($L$11="Data Modeling",IF(Table23[[#This Row],[Topic 14]]=1,Table23[[#Headers],[Topic 14]],""),IF($L$11="Process Engineering",IF('Job_Topic-Skill_Matrix'!R28=1,Table23[[#Headers],[Topic 14]],""),IF($L$11="Software Development Life Cycle",IF('Job_Topic-Skill_Matrix'!R41=1,Table23[[#Headers],[Topic 14]],""),IF($L$11="Signal Processing",IF('Job_Topic-Skill_Matrix'!R51=1,Table23[[#Headers],[Topic 14]],""),NA()))))))</f>
        <v/>
      </c>
      <c r="AE11" s="96" t="str">
        <f>(_xlfn.SINGLE(IF($L$11="Data Modeling",IF(Table23[[#This Row],[Topic 15]]=1,Table23[[#Headers],[Topic 15]],""),IF($L$11="Process Engineering",IF('Job_Topic-Skill_Matrix'!S28=1,Table23[[#Headers],[Topic 15]],""),IF($L$11="Software Development Life Cycle",IF('Job_Topic-Skill_Matrix'!S41=1,Table23[[#Headers],[Topic 15]],""),IF($L$11="Signal Processing",IF('Job_Topic-Skill_Matrix'!S51=1,Table23[[#Headers],[Topic 15]],""),NA()))))))</f>
        <v/>
      </c>
      <c r="AF11" s="96" t="str">
        <f>(_xlfn.SINGLE(IF($L$11="Data Modeling",IF(Table23[[#This Row],[Topic 16]]=1,Table23[[#Headers],[Topic 16]],""),IF($L$11="Process Engineering",IF('Job_Topic-Skill_Matrix'!T28=1,Table23[[#Headers],[Topic 16]],""),IF($L$11="Software Development Life Cycle",IF('Job_Topic-Skill_Matrix'!T41=1,Table23[[#Headers],[Topic 16]],""),IF($L$11="Signal Processing",IF('Job_Topic-Skill_Matrix'!T51=1,Table23[[#Headers],[Topic 16]],""),NA()))))))</f>
        <v>Topic 16</v>
      </c>
      <c r="AG11" s="96" t="str">
        <f>(_xlfn.SINGLE(IF($L$11="Data Modeling",IF(Table23[[#This Row],[Topic 17]]=1,Table23[[#Headers],[Topic 17]],""),IF($L$11="Process Engineering",IF('Job_Topic-Skill_Matrix'!U28=1,Table23[[#Headers],[Topic 17]],""),IF($L$11="Software Development Life Cycle",IF('Job_Topic-Skill_Matrix'!U41=1,Table23[[#Headers],[Topic 17]],""),IF($L$11="Signal Processing",IF('Job_Topic-Skill_Matrix'!U51=1,Table23[[#Headers],[Topic 17]],""),NA()))))))</f>
        <v>Topic 17</v>
      </c>
      <c r="AH11" s="96" t="str">
        <f>(_xlfn.SINGLE(IF($L$11="Data Modeling",IF(Table23[[#This Row],[Topic 18]]=1,Table23[[#Headers],[Topic 18]],""),IF($L$11="Process Engineering",IF('Job_Topic-Skill_Matrix'!V28=1,Table23[[#Headers],[Topic 18]],""),IF($L$11="Software Development Life Cycle",IF('Job_Topic-Skill_Matrix'!V41=1,Table23[[#Headers],[Topic 18]],""),IF($L$11="Signal Processing",IF('Job_Topic-Skill_Matrix'!V51=1,Table23[[#Headers],[Topic 18]],""),NA()))))))</f>
        <v/>
      </c>
      <c r="AI11" s="103" t="str">
        <f>(_xlfn.SINGLE(IF($L$11="Data Modeling",IF(Table23[[#This Row],[Topic 19]]=1,Table23[[#Headers],[Topic 19]],""),IF($L$11="Process Engineering",IF('Job_Topic-Skill_Matrix'!W28=1,Table23[[#Headers],[Topic 19]],""),IF($L$11="Software Development Life Cycle",IF('Job_Topic-Skill_Matrix'!W41=1,Table23[[#Headers],[Topic 19]],""),IF($L$11="Signal Processing",IF('Job_Topic-Skill_Matrix'!W51=1,Table23[[#Headers],[Topic 19]],""),NA()))))))</f>
        <v>Topic 19</v>
      </c>
      <c r="AN11" s="108"/>
      <c r="AO11" s="107"/>
      <c r="AP11" s="107" t="s">
        <v>59</v>
      </c>
      <c r="AQ11" s="43"/>
      <c r="AR11" s="107" t="s">
        <v>60</v>
      </c>
      <c r="AS11" s="107"/>
      <c r="AT11" s="107" t="s">
        <v>61</v>
      </c>
      <c r="AU11" s="107"/>
      <c r="AV11" s="107" t="s">
        <v>62</v>
      </c>
      <c r="AW11" s="107"/>
      <c r="AX11" s="107" t="s">
        <v>63</v>
      </c>
      <c r="AY11" s="107"/>
      <c r="AZ11" s="107" t="s">
        <v>64</v>
      </c>
      <c r="BA11" s="3"/>
      <c r="BB11" s="43" t="s">
        <v>65</v>
      </c>
    </row>
    <row r="12" spans="1:54" ht="15" customHeight="1" x14ac:dyDescent="0.35">
      <c r="B12" s="39" t="s">
        <v>289</v>
      </c>
      <c r="C12" s="39" t="s">
        <v>55</v>
      </c>
      <c r="D12" s="39" t="s">
        <v>56</v>
      </c>
      <c r="E12" s="39" t="s">
        <v>57</v>
      </c>
      <c r="G12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>Data Warehousing</v>
      </c>
      <c r="H12" s="18" t="str">
        <v>Data Warehousing</v>
      </c>
      <c r="I12" s="66" t="b">
        <v>1</v>
      </c>
      <c r="K12" t="s">
        <v>69</v>
      </c>
      <c r="L12" s="5" t="str">
        <f>IF(I12=TRUE,VLOOKUP(H12,Table23[Skill / Domain Knowledge],1,FALSE),"")</f>
        <v>Data Warehousing</v>
      </c>
      <c r="P12" s="93" t="str">
        <f>(_xlfn.SINGLE(IF($L$12="Data Warehousing",IF(Table23[[#This Row],[Topic 0]]=1,Table23[[#Headers],[Topic 0]],""),IF($L$12="Programmable Logic Controllers",IF('Job_Topic-Skill_Matrix'!D29=1,Table23[[#Headers],[Topic 0]],""),IF($L$12="Network Engineering",IF('Job_Topic-Skill_Matrix'!D42=1,Table23[[#Headers],[Topic 0]],""),IF($L$12="Hardware Architecture",IF('Job_Topic-Skill_Matrix'!D52=1,Table23[[#Headers],[Topic 0]],""),NA()))))))</f>
        <v/>
      </c>
      <c r="Q12" s="96" t="str">
        <f>(_xlfn.SINGLE(IF($L$12="Data Warehousing",IF(Table23[[#This Row],[Topic 1]]=1,Table23[[#Headers],[Topic 1]],""),IF($L$12="Programmable Logic Controllers",IF('Job_Topic-Skill_Matrix'!E29=1,Table23[[#Headers],[Topic 1]],""),IF($L$12="Network Engineering",IF('Job_Topic-Skill_Matrix'!E42=1,Table23[[#Headers],[Topic 1]],""),IF($L$12="Hardware Architecture",IF('Job_Topic-Skill_Matrix'!E52=1,Table23[[#Headers],[Topic 1]],""),NA()))))))</f>
        <v/>
      </c>
      <c r="R12" s="96" t="str">
        <f>(_xlfn.SINGLE(IF($L$12="Data Warehousing",IF(Table23[[#This Row],[Topic 2]]=1,Table23[[#Headers],[Topic 2]],""),IF($L$12="Programmable Logic Controllers",IF('Job_Topic-Skill_Matrix'!F29=1,Table23[[#Headers],[Topic 2]],""),IF($L$12="Network Engineering",IF('Job_Topic-Skill_Matrix'!F42=1,Table23[[#Headers],[Topic 2]],""),IF($L$12="Hardware Architecture",IF('Job_Topic-Skill_Matrix'!F52=1,Table23[[#Headers],[Topic 2]],""),NA()))))))</f>
        <v/>
      </c>
      <c r="S12" s="96" t="str">
        <f>(_xlfn.SINGLE(IF($L$12="Data Warehousing",IF(Table23[[#This Row],[Topic 3]]=1,Table23[[#Headers],[Topic 3]],""),IF($L$12="Programmable Logic Controllers",IF('Job_Topic-Skill_Matrix'!G29=1,Table23[[#Headers],[Topic 3]],""),IF($L$12="Network Engineering",IF('Job_Topic-Skill_Matrix'!G42=1,Table23[[#Headers],[Topic 3]],""),IF($L$12="Hardware Architecture",IF('Job_Topic-Skill_Matrix'!G52=1,Table23[[#Headers],[Topic 3]],""),NA()))))))</f>
        <v/>
      </c>
      <c r="T12" s="96" t="str">
        <f>(_xlfn.SINGLE(IF($L$12="Data Warehousing",IF(Table23[[#This Row],[Topic 4]]=1,Table23[[#Headers],[Topic 4]],""),IF($L$12="Programmable Logic Controllers",IF('Job_Topic-Skill_Matrix'!H29=1,Table23[[#Headers],[Topic 4]],""),IF($L$12="Network Engineering",IF('Job_Topic-Skill_Matrix'!H42=1,Table23[[#Headers],[Topic 4]],""),IF($L$12="Hardware Architecture",IF('Job_Topic-Skill_Matrix'!H52=1,Table23[[#Headers],[Topic 4]],""),NA()))))))</f>
        <v>Topic 4</v>
      </c>
      <c r="U12" s="96" t="str">
        <f>(_xlfn.SINGLE(IF($L$12="Data Warehousing",IF(Table23[[#This Row],[Topic 5]]=1,Table23[[#Headers],[Topic 5]],""),IF($L$12="Programmable Logic Controllers",IF('Job_Topic-Skill_Matrix'!I29=1,Table23[[#Headers],[Topic 5]],""),IF($L$12="Network Engineering",IF('Job_Topic-Skill_Matrix'!I42=1,Table23[[#Headers],[Topic 5]],""),IF($L$12="Hardware Architecture",IF('Job_Topic-Skill_Matrix'!I52=1,Table23[[#Headers],[Topic 5]],""),NA()))))))</f>
        <v/>
      </c>
      <c r="V12" s="96" t="str">
        <f>(_xlfn.SINGLE(IF($L$12="Data Warehousing",IF(Table23[[#This Row],[Topic 6]]=1,Table23[[#Headers],[Topic 6]],""),IF($L$12="Programmable Logic Controllers",IF('Job_Topic-Skill_Matrix'!J29=1,Table23[[#Headers],[Topic 6]],""),IF($L$12="Network Engineering",IF('Job_Topic-Skill_Matrix'!J42=1,Table23[[#Headers],[Topic 6]],""),IF($L$12="Hardware Architecture",IF('Job_Topic-Skill_Matrix'!J52=1,Table23[[#Headers],[Topic 6]],""),NA()))))))</f>
        <v/>
      </c>
      <c r="W12" s="96" t="str">
        <f>(_xlfn.SINGLE(IF($L$12="Data Warehousing",IF(Table23[[#This Row],[Topic 7]]=1,Table23[[#Headers],[Topic 7]],""),IF($L$12="Programmable Logic Controllers",IF('Job_Topic-Skill_Matrix'!K29=1,Table23[[#Headers],[Topic 7]],""),IF($L$12="Network Engineering",IF('Job_Topic-Skill_Matrix'!K42=1,Table23[[#Headers],[Topic 7]],""),IF($L$12="Hardware Architecture",IF('Job_Topic-Skill_Matrix'!K52=1,Table23[[#Headers],[Topic 7]],""),NA()))))))</f>
        <v/>
      </c>
      <c r="X12" s="96" t="str">
        <f>(_xlfn.SINGLE(IF($L$12="Data Warehousing",IF(Table23[[#This Row],[Topic 8]]=1,Table23[[#Headers],[Topic 8]],""),IF($L$12="Programmable Logic Controllers",IF('Job_Topic-Skill_Matrix'!L29=1,Table23[[#Headers],[Topic 8]],""),IF($L$12="Network Engineering",IF('Job_Topic-Skill_Matrix'!L42=1,Table23[[#Headers],[Topic 8]],""),IF($L$12="Hardware Architecture",IF('Job_Topic-Skill_Matrix'!L52=1,Table23[[#Headers],[Topic 8]],""),NA()))))))</f>
        <v/>
      </c>
      <c r="Y12" s="96" t="str">
        <f>(_xlfn.SINGLE(IF($L$12="Data Warehousing",IF(Table23[[#This Row],[Topic 9]]=1,Table23[[#Headers],[Topic 9]],""),IF($L$12="Programmable Logic Controllers",IF('Job_Topic-Skill_Matrix'!M29=1,Table23[[#Headers],[Topic 9]],""),IF($L$12="Network Engineering",IF('Job_Topic-Skill_Matrix'!M42=1,Table23[[#Headers],[Topic 9]],""),IF($L$12="Hardware Architecture",IF('Job_Topic-Skill_Matrix'!M52=1,Table23[[#Headers],[Topic 9]],""),NA()))))))</f>
        <v/>
      </c>
      <c r="Z12" s="96" t="str">
        <f>(_xlfn.SINGLE(IF($L$12="Data Warehousing",IF(Table23[[#This Row],[Topic 10]]=1,Table23[[#Headers],[Topic 10]],""),IF($L$12="Programmable Logic Controllers",IF('Job_Topic-Skill_Matrix'!N29=1,Table23[[#Headers],[Topic 10]],""),IF($L$12="Network Engineering",IF('Job_Topic-Skill_Matrix'!N42=1,Table23[[#Headers],[Topic 10]],""),IF($L$12="Hardware Architecture",IF('Job_Topic-Skill_Matrix'!N52=1,Table23[[#Headers],[Topic 10]],""),NA()))))))</f>
        <v/>
      </c>
      <c r="AA12" s="96" t="str">
        <f>(_xlfn.SINGLE(IF($L$12="Data Warehousing",IF(Table23[[#This Row],[Topic 11]]=1,Table23[[#Headers],[Topic 11]],""),IF($L$12="Programmable Logic Controllers",IF('Job_Topic-Skill_Matrix'!O29=1,Table23[[#Headers],[Topic 11]],""),IF($L$12="Network Engineering",IF('Job_Topic-Skill_Matrix'!O42=1,Table23[[#Headers],[Topic 11]],""),IF($L$12="Hardware Architecture",IF('Job_Topic-Skill_Matrix'!O52=1,Table23[[#Headers],[Topic 11]],""),NA()))))))</f>
        <v/>
      </c>
      <c r="AB12" s="96" t="str">
        <f>(_xlfn.SINGLE(IF($L$12="Data Warehousing",IF(Table23[[#This Row],[Topic 12]]=1,Table23[[#Headers],[Topic 12]],""),IF($L$12="Programmable Logic Controllers",IF('Job_Topic-Skill_Matrix'!P29=1,Table23[[#Headers],[Topic 12]],""),IF($L$12="Network Engineering",IF('Job_Topic-Skill_Matrix'!P42=1,Table23[[#Headers],[Topic 12]],""),IF($L$12="Hardware Architecture",IF('Job_Topic-Skill_Matrix'!P52=1,Table23[[#Headers],[Topic 12]],""),NA()))))))</f>
        <v/>
      </c>
      <c r="AC12" s="96" t="str">
        <f>(_xlfn.SINGLE(IF($L$12="Data Warehousing",IF(Table23[[#This Row],[Topic 13]]=1,Table23[[#Headers],[Topic 13]],""),IF($L$12="Programmable Logic Controllers",IF('Job_Topic-Skill_Matrix'!Q29=1,Table23[[#Headers],[Topic 13]],""),IF($L$12="Network Engineering",IF('Job_Topic-Skill_Matrix'!Q42=1,Table23[[#Headers],[Topic 13]],""),IF($L$12="Hardware Architecture",IF('Job_Topic-Skill_Matrix'!Q52=1,Table23[[#Headers],[Topic 13]],""),NA()))))))</f>
        <v/>
      </c>
      <c r="AD12" s="96" t="str">
        <f>(_xlfn.SINGLE(IF($L$12="Data Warehousing",IF(Table23[[#This Row],[Topic 14]]=1,Table23[[#Headers],[Topic 14]],""),IF($L$12="Programmable Logic Controllers",IF('Job_Topic-Skill_Matrix'!R29=1,Table23[[#Headers],[Topic 14]],""),IF($L$12="Network Engineering",IF('Job_Topic-Skill_Matrix'!R42=1,Table23[[#Headers],[Topic 14]],""),IF($L$12="Hardware Architecture",IF('Job_Topic-Skill_Matrix'!R52=1,Table23[[#Headers],[Topic 14]],""),NA()))))))</f>
        <v/>
      </c>
      <c r="AE12" s="96" t="str">
        <f>(_xlfn.SINGLE(IF($L$12="Data Warehousing",IF(Table23[[#This Row],[Topic 15]]=1,Table23[[#Headers],[Topic 15]],""),IF($L$12="Programmable Logic Controllers",IF('Job_Topic-Skill_Matrix'!S29=1,Table23[[#Headers],[Topic 15]],""),IF($L$12="Network Engineering",IF('Job_Topic-Skill_Matrix'!S42=1,Table23[[#Headers],[Topic 15]],""),IF($L$12="Hardware Architecture",IF('Job_Topic-Skill_Matrix'!S52=1,Table23[[#Headers],[Topic 15]],""),NA()))))))</f>
        <v/>
      </c>
      <c r="AF12" s="96" t="str">
        <f>(_xlfn.SINGLE(IF($L$12="Data Warehousing",IF(Table23[[#This Row],[Topic 16]]=1,Table23[[#Headers],[Topic 16]],""),IF($L$12="Programmable Logic Controllers",IF('Job_Topic-Skill_Matrix'!T29=1,Table23[[#Headers],[Topic 16]],""),IF($L$12="Network Engineering",IF('Job_Topic-Skill_Matrix'!T42=1,Table23[[#Headers],[Topic 16]],""),IF($L$12="Hardware Architecture",IF('Job_Topic-Skill_Matrix'!T52=1,Table23[[#Headers],[Topic 16]],""),NA()))))))</f>
        <v>Topic 16</v>
      </c>
      <c r="AG12" s="96" t="str">
        <f>(_xlfn.SINGLE(IF($L$12="Data Warehousing",IF(Table23[[#This Row],[Topic 17]]=1,Table23[[#Headers],[Topic 17]],""),IF($L$12="Programmable Logic Controllers",IF('Job_Topic-Skill_Matrix'!U29=1,Table23[[#Headers],[Topic 17]],""),IF($L$12="Network Engineering",IF('Job_Topic-Skill_Matrix'!U42=1,Table23[[#Headers],[Topic 17]],""),IF($L$12="Hardware Architecture",IF('Job_Topic-Skill_Matrix'!U52=1,Table23[[#Headers],[Topic 17]],""),NA()))))))</f>
        <v/>
      </c>
      <c r="AH12" s="96" t="str">
        <f>(_xlfn.SINGLE(IF($L$12="Data Warehousing",IF(Table23[[#This Row],[Topic 18]]=1,Table23[[#Headers],[Topic 18]],""),IF($L$12="Programmable Logic Controllers",IF('Job_Topic-Skill_Matrix'!V29=1,Table23[[#Headers],[Topic 18]],""),IF($L$12="Network Engineering",IF('Job_Topic-Skill_Matrix'!V42=1,Table23[[#Headers],[Topic 18]],""),IF($L$12="Hardware Architecture",IF('Job_Topic-Skill_Matrix'!V52=1,Table23[[#Headers],[Topic 18]],""),NA()))))))</f>
        <v/>
      </c>
      <c r="AI12" s="103" t="str">
        <f>(_xlfn.SINGLE(IF($L$12="Data Warehousing",IF(Table23[[#This Row],[Topic 19]]=1,Table23[[#Headers],[Topic 19]],""),IF($L$12="Programmable Logic Controllers",IF('Job_Topic-Skill_Matrix'!W29=1,Table23[[#Headers],[Topic 19]],""),IF($L$12="Network Engineering",IF('Job_Topic-Skill_Matrix'!W42=1,Table23[[#Headers],[Topic 19]],""),IF($L$12="Hardware Architecture",IF('Job_Topic-Skill_Matrix'!W52=1,Table23[[#Headers],[Topic 19]],""),NA()))))))</f>
        <v/>
      </c>
      <c r="AN12" s="108"/>
      <c r="AO12" s="108"/>
      <c r="AP12" s="108"/>
      <c r="AQ12" s="44"/>
      <c r="AR12" s="108"/>
      <c r="AS12" s="107"/>
      <c r="AT12" s="107" t="s">
        <v>70</v>
      </c>
      <c r="AU12" s="107"/>
      <c r="AV12" s="108"/>
      <c r="AW12" s="107"/>
      <c r="AX12" s="107" t="s">
        <v>71</v>
      </c>
      <c r="AY12" s="107"/>
      <c r="AZ12" s="107" t="s">
        <v>72</v>
      </c>
      <c r="BA12" s="3"/>
      <c r="BB12" s="43" t="s">
        <v>73</v>
      </c>
    </row>
    <row r="13" spans="1:54" ht="15" customHeight="1" x14ac:dyDescent="0.35">
      <c r="B13" t="s">
        <v>66</v>
      </c>
      <c r="C13" t="s">
        <v>67</v>
      </c>
      <c r="D13" t="s">
        <v>68</v>
      </c>
      <c r="E13" t="s">
        <v>68</v>
      </c>
      <c r="G13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>Data Visualization</v>
      </c>
      <c r="H13" s="18" t="str">
        <v>Data Visualization</v>
      </c>
      <c r="I13" s="66" t="b">
        <v>1</v>
      </c>
      <c r="K13" t="s">
        <v>77</v>
      </c>
      <c r="L13" s="5" t="str">
        <f>IF(I13=TRUE,VLOOKUP(H13,Table23[Skill / Domain Knowledge],1,FALSE),"")</f>
        <v>Data Visualization</v>
      </c>
      <c r="P13" s="93" t="str">
        <f>(_xlfn.SINGLE(IF($L$13="Data Visualization",IF(Table23[[#This Row],[Topic 0]]=1,Table23[[#Headers],[Topic 0]],""),IF($L$13="Six Sigma Methodology",IF('Job_Topic-Skill_Matrix'!D30=1,Table23[[#Headers],[Topic 0]],""),IF($L$13="Cloud Computing",IF('Job_Topic-Skill_Matrix'!D43=1,Table23[[#Headers],[Topic 0]],""),IF($L$13="Test Equipment",IF('Job_Topic-Skill_Matrix'!D53=1,Table23[[#Headers],[Topic 0]],""),NA()))))))</f>
        <v>Topic 0</v>
      </c>
      <c r="Q13" s="96" t="str">
        <f>(_xlfn.SINGLE(IF($L$13="Data Visualization",IF(Table23[[#This Row],[Topic 1]]=1,Table23[[#Headers],[Topic 1]],""),IF($L$13="Six Sigma Methodology",IF('Job_Topic-Skill_Matrix'!E30=1,Table23[[#Headers],[Topic 1]],""),IF($L$13="Cloud Computing",IF('Job_Topic-Skill_Matrix'!E43=1,Table23[[#Headers],[Topic 1]],""),IF($L$13="Test Equipment",IF('Job_Topic-Skill_Matrix'!E53=1,Table23[[#Headers],[Topic 1]],""),NA()))))))</f>
        <v/>
      </c>
      <c r="R13" s="96" t="str">
        <f>(_xlfn.SINGLE(IF($L$13="Data Visualization",IF(Table23[[#This Row],[Topic 2]]=1,Table23[[#Headers],[Topic 2]],""),IF($L$13="Six Sigma Methodology",IF('Job_Topic-Skill_Matrix'!F30=1,Table23[[#Headers],[Topic 2]],""),IF($L$13="Cloud Computing",IF('Job_Topic-Skill_Matrix'!F43=1,Table23[[#Headers],[Topic 2]],""),IF($L$13="Test Equipment",IF('Job_Topic-Skill_Matrix'!F53=1,Table23[[#Headers],[Topic 2]],""),NA()))))))</f>
        <v/>
      </c>
      <c r="S13" s="96" t="str">
        <f>(_xlfn.SINGLE(IF($L$13="Data Visualization",IF(Table23[[#This Row],[Topic 3]]=1,Table23[[#Headers],[Topic 3]],""),IF($L$13="Six Sigma Methodology",IF('Job_Topic-Skill_Matrix'!G30=1,Table23[[#Headers],[Topic 3]],""),IF($L$13="Cloud Computing",IF('Job_Topic-Skill_Matrix'!G43=1,Table23[[#Headers],[Topic 3]],""),IF($L$13="Test Equipment",IF('Job_Topic-Skill_Matrix'!G53=1,Table23[[#Headers],[Topic 3]],""),NA()))))))</f>
        <v>Topic 3</v>
      </c>
      <c r="T13" s="96" t="str">
        <f>(_xlfn.SINGLE(IF($L$13="Data Visualization",IF(Table23[[#This Row],[Topic 4]]=1,Table23[[#Headers],[Topic 4]],""),IF($L$13="Six Sigma Methodology",IF('Job_Topic-Skill_Matrix'!H30=1,Table23[[#Headers],[Topic 4]],""),IF($L$13="Cloud Computing",IF('Job_Topic-Skill_Matrix'!H43=1,Table23[[#Headers],[Topic 4]],""),IF($L$13="Test Equipment",IF('Job_Topic-Skill_Matrix'!H53=1,Table23[[#Headers],[Topic 4]],""),NA()))))))</f>
        <v/>
      </c>
      <c r="U13" s="96" t="str">
        <f>(_xlfn.SINGLE(IF($L$13="Data Visualization",IF(Table23[[#This Row],[Topic 5]]=1,Table23[[#Headers],[Topic 5]],""),IF($L$13="Six Sigma Methodology",IF('Job_Topic-Skill_Matrix'!I30=1,Table23[[#Headers],[Topic 5]],""),IF($L$13="Cloud Computing",IF('Job_Topic-Skill_Matrix'!I43=1,Table23[[#Headers],[Topic 5]],""),IF($L$13="Test Equipment",IF('Job_Topic-Skill_Matrix'!I53=1,Table23[[#Headers],[Topic 5]],""),NA()))))))</f>
        <v/>
      </c>
      <c r="V13" s="96" t="str">
        <f>(_xlfn.SINGLE(IF($L$13="Data Visualization",IF(Table23[[#This Row],[Topic 6]]=1,Table23[[#Headers],[Topic 6]],""),IF($L$13="Six Sigma Methodology",IF('Job_Topic-Skill_Matrix'!J30=1,Table23[[#Headers],[Topic 6]],""),IF($L$13="Cloud Computing",IF('Job_Topic-Skill_Matrix'!J43=1,Table23[[#Headers],[Topic 6]],""),IF($L$13="Test Equipment",IF('Job_Topic-Skill_Matrix'!J53=1,Table23[[#Headers],[Topic 6]],""),NA()))))))</f>
        <v/>
      </c>
      <c r="W13" s="96" t="str">
        <f>(_xlfn.SINGLE(IF($L$13="Data Visualization",IF(Table23[[#This Row],[Topic 7]]=1,Table23[[#Headers],[Topic 7]],""),IF($L$13="Six Sigma Methodology",IF('Job_Topic-Skill_Matrix'!K30=1,Table23[[#Headers],[Topic 7]],""),IF($L$13="Cloud Computing",IF('Job_Topic-Skill_Matrix'!K43=1,Table23[[#Headers],[Topic 7]],""),IF($L$13="Test Equipment",IF('Job_Topic-Skill_Matrix'!K53=1,Table23[[#Headers],[Topic 7]],""),NA()))))))</f>
        <v/>
      </c>
      <c r="X13" s="96" t="str">
        <f>(_xlfn.SINGLE(IF($L$13="Data Visualization",IF(Table23[[#This Row],[Topic 8]]=1,Table23[[#Headers],[Topic 8]],""),IF($L$13="Six Sigma Methodology",IF('Job_Topic-Skill_Matrix'!L30=1,Table23[[#Headers],[Topic 8]],""),IF($L$13="Cloud Computing",IF('Job_Topic-Skill_Matrix'!L43=1,Table23[[#Headers],[Topic 8]],""),IF($L$13="Test Equipment",IF('Job_Topic-Skill_Matrix'!L53=1,Table23[[#Headers],[Topic 8]],""),NA()))))))</f>
        <v/>
      </c>
      <c r="Y13" s="96" t="str">
        <f>(_xlfn.SINGLE(IF($L$13="Data Visualization",IF(Table23[[#This Row],[Topic 9]]=1,Table23[[#Headers],[Topic 9]],""),IF($L$13="Six Sigma Methodology",IF('Job_Topic-Skill_Matrix'!M30=1,Table23[[#Headers],[Topic 9]],""),IF($L$13="Cloud Computing",IF('Job_Topic-Skill_Matrix'!M43=1,Table23[[#Headers],[Topic 9]],""),IF($L$13="Test Equipment",IF('Job_Topic-Skill_Matrix'!M53=1,Table23[[#Headers],[Topic 9]],""),NA()))))))</f>
        <v/>
      </c>
      <c r="Z13" s="96" t="str">
        <f>(_xlfn.SINGLE(IF($L$13="Data Visualization",IF(Table23[[#This Row],[Topic 10]]=1,Table23[[#Headers],[Topic 10]],""),IF($L$13="Six Sigma Methodology",IF('Job_Topic-Skill_Matrix'!N30=1,Table23[[#Headers],[Topic 10]],""),IF($L$13="Cloud Computing",IF('Job_Topic-Skill_Matrix'!N43=1,Table23[[#Headers],[Topic 10]],""),IF($L$13="Test Equipment",IF('Job_Topic-Skill_Matrix'!N53=1,Table23[[#Headers],[Topic 10]],""),NA()))))))</f>
        <v/>
      </c>
      <c r="AA13" s="96" t="str">
        <f>(_xlfn.SINGLE(IF($L$13="Data Visualization",IF(Table23[[#This Row],[Topic 11]]=1,Table23[[#Headers],[Topic 11]],""),IF($L$13="Six Sigma Methodology",IF('Job_Topic-Skill_Matrix'!O30=1,Table23[[#Headers],[Topic 11]],""),IF($L$13="Cloud Computing",IF('Job_Topic-Skill_Matrix'!O43=1,Table23[[#Headers],[Topic 11]],""),IF($L$13="Test Equipment",IF('Job_Topic-Skill_Matrix'!O53=1,Table23[[#Headers],[Topic 11]],""),NA()))))))</f>
        <v/>
      </c>
      <c r="AB13" s="96" t="str">
        <f>(_xlfn.SINGLE(IF($L$13="Data Visualization",IF(Table23[[#This Row],[Topic 12]]=1,Table23[[#Headers],[Topic 12]],""),IF($L$13="Six Sigma Methodology",IF('Job_Topic-Skill_Matrix'!P30=1,Table23[[#Headers],[Topic 12]],""),IF($L$13="Cloud Computing",IF('Job_Topic-Skill_Matrix'!P43=1,Table23[[#Headers],[Topic 12]],""),IF($L$13="Test Equipment",IF('Job_Topic-Skill_Matrix'!P53=1,Table23[[#Headers],[Topic 12]],""),NA()))))))</f>
        <v/>
      </c>
      <c r="AC13" s="96" t="str">
        <f>(_xlfn.SINGLE(IF($L$13="Data Visualization",IF(Table23[[#This Row],[Topic 13]]=1,Table23[[#Headers],[Topic 13]],""),IF($L$13="Six Sigma Methodology",IF('Job_Topic-Skill_Matrix'!Q30=1,Table23[[#Headers],[Topic 13]],""),IF($L$13="Cloud Computing",IF('Job_Topic-Skill_Matrix'!Q43=1,Table23[[#Headers],[Topic 13]],""),IF($L$13="Test Equipment",IF('Job_Topic-Skill_Matrix'!Q53=1,Table23[[#Headers],[Topic 13]],""),NA()))))))</f>
        <v/>
      </c>
      <c r="AD13" s="96" t="str">
        <f>(_xlfn.SINGLE(IF($L$13="Data Visualization",IF(Table23[[#This Row],[Topic 14]]=1,Table23[[#Headers],[Topic 14]],""),IF($L$13="Six Sigma Methodology",IF('Job_Topic-Skill_Matrix'!R30=1,Table23[[#Headers],[Topic 14]],""),IF($L$13="Cloud Computing",IF('Job_Topic-Skill_Matrix'!R43=1,Table23[[#Headers],[Topic 14]],""),IF($L$13="Test Equipment",IF('Job_Topic-Skill_Matrix'!R53=1,Table23[[#Headers],[Topic 14]],""),NA()))))))</f>
        <v/>
      </c>
      <c r="AE13" s="96" t="str">
        <f>(_xlfn.SINGLE(IF($L$13="Data Visualization",IF(Table23[[#This Row],[Topic 15]]=1,Table23[[#Headers],[Topic 15]],""),IF($L$13="Six Sigma Methodology",IF('Job_Topic-Skill_Matrix'!S30=1,Table23[[#Headers],[Topic 15]],""),IF($L$13="Cloud Computing",IF('Job_Topic-Skill_Matrix'!S43=1,Table23[[#Headers],[Topic 15]],""),IF($L$13="Test Equipment",IF('Job_Topic-Skill_Matrix'!S53=1,Table23[[#Headers],[Topic 15]],""),NA()))))))</f>
        <v/>
      </c>
      <c r="AF13" s="96" t="str">
        <f>(_xlfn.SINGLE(IF($L$13="Data Visualization",IF(Table23[[#This Row],[Topic 16]]=1,Table23[[#Headers],[Topic 16]],""),IF($L$13="Six Sigma Methodology",IF('Job_Topic-Skill_Matrix'!T30=1,Table23[[#Headers],[Topic 16]],""),IF($L$13="Cloud Computing",IF('Job_Topic-Skill_Matrix'!T43=1,Table23[[#Headers],[Topic 16]],""),IF($L$13="Test Equipment",IF('Job_Topic-Skill_Matrix'!T53=1,Table23[[#Headers],[Topic 16]],""),NA()))))))</f>
        <v/>
      </c>
      <c r="AG13" s="96" t="str">
        <f>(_xlfn.SINGLE(IF($L$13="Data Visualization",IF(Table23[[#This Row],[Topic 17]]=1,Table23[[#Headers],[Topic 17]],""),IF($L$13="Six Sigma Methodology",IF('Job_Topic-Skill_Matrix'!U30=1,Table23[[#Headers],[Topic 17]],""),IF($L$13="Cloud Computing",IF('Job_Topic-Skill_Matrix'!U43=1,Table23[[#Headers],[Topic 17]],""),IF($L$13="Test Equipment",IF('Job_Topic-Skill_Matrix'!U53=1,Table23[[#Headers],[Topic 17]],""),NA()))))))</f>
        <v/>
      </c>
      <c r="AH13" s="96" t="str">
        <f>(_xlfn.SINGLE(IF($L$13="Data Visualization",IF(Table23[[#This Row],[Topic 18]]=1,Table23[[#Headers],[Topic 18]],""),IF($L$13="Six Sigma Methodology",IF('Job_Topic-Skill_Matrix'!V30=1,Table23[[#Headers],[Topic 18]],""),IF($L$13="Cloud Computing",IF('Job_Topic-Skill_Matrix'!V43=1,Table23[[#Headers],[Topic 18]],""),IF($L$13="Test Equipment",IF('Job_Topic-Skill_Matrix'!V53=1,Table23[[#Headers],[Topic 18]],""),NA()))))))</f>
        <v/>
      </c>
      <c r="AI13" s="103" t="str">
        <f>(_xlfn.SINGLE(IF($L$13="Data Visualization",IF(Table23[[#This Row],[Topic 19]]=1,Table23[[#Headers],[Topic 19]],""),IF($L$13="Six Sigma Methodology",IF('Job_Topic-Skill_Matrix'!W30=1,Table23[[#Headers],[Topic 19]],""),IF($L$13="Cloud Computing",IF('Job_Topic-Skill_Matrix'!W43=1,Table23[[#Headers],[Topic 19]],""),IF($L$13="Test Equipment",IF('Job_Topic-Skill_Matrix'!W53=1,Table23[[#Headers],[Topic 19]],""),NA()))))))</f>
        <v/>
      </c>
      <c r="AM13" s="14"/>
      <c r="AN13" s="106"/>
      <c r="AO13" s="108"/>
      <c r="AP13" s="106"/>
      <c r="AQ13" s="44"/>
      <c r="AR13" s="106"/>
      <c r="AS13" s="107"/>
      <c r="AT13" s="107" t="s">
        <v>78</v>
      </c>
      <c r="AU13" s="107"/>
      <c r="AV13" s="106"/>
      <c r="AW13" s="107"/>
      <c r="AX13" s="106"/>
      <c r="AY13" s="107"/>
      <c r="AZ13" s="107" t="s">
        <v>79</v>
      </c>
      <c r="BA13" s="3"/>
      <c r="BB13" s="43" t="s">
        <v>80</v>
      </c>
    </row>
    <row r="14" spans="1:54" ht="15" customHeight="1" x14ac:dyDescent="0.35">
      <c r="B14" t="s">
        <v>74</v>
      </c>
      <c r="C14" t="s">
        <v>75</v>
      </c>
      <c r="D14" t="s">
        <v>148</v>
      </c>
      <c r="E14" t="s">
        <v>82</v>
      </c>
      <c r="G14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>Database Administration</v>
      </c>
      <c r="H14" s="18" t="str">
        <v>Database Administration</v>
      </c>
      <c r="I14" s="66" t="b">
        <v>1</v>
      </c>
      <c r="K14" t="s">
        <v>83</v>
      </c>
      <c r="L14" s="5" t="str">
        <f>IF(I14=TRUE,VLOOKUP(H14,Table23[Skill / Domain Knowledge],1,FALSE),"")</f>
        <v>Database Administration</v>
      </c>
      <c r="P14" s="93" t="str">
        <f>(_xlfn.SINGLE(IF($L$14="Database Administration",IF(Table23[[#This Row],[Topic 0]]=1,Table23[[#Headers],[Topic 0]],""),IF($L$14="Root Cause Analysis",IF('Job_Topic-Skill_Matrix'!D31=1,Table23[[#Headers],[Topic 0]],""),IF($L$14="Virtualization",IF('Job_Topic-Skill_Matrix'!D44=1,Table23[[#Headers],[Topic 0]],""),IF($L$14="Radio Frequency",IF('Job_Topic-Skill_Matrix'!D54=1,Table23[[#Headers],[Topic 0]],""),NA()))))))</f>
        <v/>
      </c>
      <c r="Q14" s="96" t="str">
        <f>(_xlfn.SINGLE(IF($L$14="Database Administration",IF(Table23[[#This Row],[Topic 1]]=1,Table23[[#Headers],[Topic 1]],""),IF($L$14="Root Cause Analysis",IF('Job_Topic-Skill_Matrix'!E31=1,Table23[[#Headers],[Topic 1]],""),IF($L$14="Virtualization",IF('Job_Topic-Skill_Matrix'!E44=1,Table23[[#Headers],[Topic 1]],""),IF($L$14="Radio Frequency",IF('Job_Topic-Skill_Matrix'!E54=1,Table23[[#Headers],[Topic 1]],""),NA()))))))</f>
        <v/>
      </c>
      <c r="R14" s="96" t="str">
        <f>(_xlfn.SINGLE(IF($L$14="Database Administration",IF(Table23[[#This Row],[Topic 2]]=1,Table23[[#Headers],[Topic 2]],""),IF($L$14="Root Cause Analysis",IF('Job_Topic-Skill_Matrix'!F31=1,Table23[[#Headers],[Topic 2]],""),IF($L$14="Virtualization",IF('Job_Topic-Skill_Matrix'!F44=1,Table23[[#Headers],[Topic 2]],""),IF($L$14="Radio Frequency",IF('Job_Topic-Skill_Matrix'!F54=1,Table23[[#Headers],[Topic 2]],""),NA()))))))</f>
        <v/>
      </c>
      <c r="S14" s="96" t="str">
        <f>(_xlfn.SINGLE(IF($L$14="Database Administration",IF(Table23[[#This Row],[Topic 3]]=1,Table23[[#Headers],[Topic 3]],""),IF($L$14="Root Cause Analysis",IF('Job_Topic-Skill_Matrix'!G31=1,Table23[[#Headers],[Topic 3]],""),IF($L$14="Virtualization",IF('Job_Topic-Skill_Matrix'!G44=1,Table23[[#Headers],[Topic 3]],""),IF($L$14="Radio Frequency",IF('Job_Topic-Skill_Matrix'!G54=1,Table23[[#Headers],[Topic 3]],""),NA()))))))</f>
        <v/>
      </c>
      <c r="T14" s="96" t="str">
        <f>(_xlfn.SINGLE(IF($L$14="Database Administration",IF(Table23[[#This Row],[Topic 4]]=1,Table23[[#Headers],[Topic 4]],""),IF($L$14="Root Cause Analysis",IF('Job_Topic-Skill_Matrix'!H31=1,Table23[[#Headers],[Topic 4]],""),IF($L$14="Virtualization",IF('Job_Topic-Skill_Matrix'!H44=1,Table23[[#Headers],[Topic 4]],""),IF($L$14="Radio Frequency",IF('Job_Topic-Skill_Matrix'!H54=1,Table23[[#Headers],[Topic 4]],""),NA()))))))</f>
        <v>Topic 4</v>
      </c>
      <c r="U14" s="96" t="str">
        <f>(_xlfn.SINGLE(IF($L$14="Database Administration",IF(Table23[[#This Row],[Topic 5]]=1,Table23[[#Headers],[Topic 5]],""),IF($L$14="Root Cause Analysis",IF('Job_Topic-Skill_Matrix'!I31=1,Table23[[#Headers],[Topic 5]],""),IF($L$14="Virtualization",IF('Job_Topic-Skill_Matrix'!I44=1,Table23[[#Headers],[Topic 5]],""),IF($L$14="Radio Frequency",IF('Job_Topic-Skill_Matrix'!I54=1,Table23[[#Headers],[Topic 5]],""),NA()))))))</f>
        <v/>
      </c>
      <c r="V14" s="96" t="str">
        <f>(_xlfn.SINGLE(IF($L$14="Database Administration",IF(Table23[[#This Row],[Topic 6]]=1,Table23[[#Headers],[Topic 6]],""),IF($L$14="Root Cause Analysis",IF('Job_Topic-Skill_Matrix'!J31=1,Table23[[#Headers],[Topic 6]],""),IF($L$14="Virtualization",IF('Job_Topic-Skill_Matrix'!J44=1,Table23[[#Headers],[Topic 6]],""),IF($L$14="Radio Frequency",IF('Job_Topic-Skill_Matrix'!J54=1,Table23[[#Headers],[Topic 6]],""),NA()))))))</f>
        <v/>
      </c>
      <c r="W14" s="96" t="str">
        <f>(_xlfn.SINGLE(IF($L$14="Database Administration",IF(Table23[[#This Row],[Topic 7]]=1,Table23[[#Headers],[Topic 7]],""),IF($L$14="Root Cause Analysis",IF('Job_Topic-Skill_Matrix'!K31=1,Table23[[#Headers],[Topic 7]],""),IF($L$14="Virtualization",IF('Job_Topic-Skill_Matrix'!K44=1,Table23[[#Headers],[Topic 7]],""),IF($L$14="Radio Frequency",IF('Job_Topic-Skill_Matrix'!K54=1,Table23[[#Headers],[Topic 7]],""),NA()))))))</f>
        <v/>
      </c>
      <c r="X14" s="96" t="str">
        <f>(_xlfn.SINGLE(IF($L$14="Database Administration",IF(Table23[[#This Row],[Topic 8]]=1,Table23[[#Headers],[Topic 8]],""),IF($L$14="Root Cause Analysis",IF('Job_Topic-Skill_Matrix'!L31=1,Table23[[#Headers],[Topic 8]],""),IF($L$14="Virtualization",IF('Job_Topic-Skill_Matrix'!L44=1,Table23[[#Headers],[Topic 8]],""),IF($L$14="Radio Frequency",IF('Job_Topic-Skill_Matrix'!L54=1,Table23[[#Headers],[Topic 8]],""),NA()))))))</f>
        <v/>
      </c>
      <c r="Y14" s="96" t="str">
        <f>(_xlfn.SINGLE(IF($L$14="Database Administration",IF(Table23[[#This Row],[Topic 9]]=1,Table23[[#Headers],[Topic 9]],""),IF($L$14="Root Cause Analysis",IF('Job_Topic-Skill_Matrix'!M31=1,Table23[[#Headers],[Topic 9]],""),IF($L$14="Virtualization",IF('Job_Topic-Skill_Matrix'!M44=1,Table23[[#Headers],[Topic 9]],""),IF($L$14="Radio Frequency",IF('Job_Topic-Skill_Matrix'!M54=1,Table23[[#Headers],[Topic 9]],""),NA()))))))</f>
        <v/>
      </c>
      <c r="Z14" s="96" t="str">
        <f>(_xlfn.SINGLE(IF($L$14="Database Administration",IF(Table23[[#This Row],[Topic 10]]=1,Table23[[#Headers],[Topic 10]],""),IF($L$14="Root Cause Analysis",IF('Job_Topic-Skill_Matrix'!N31=1,Table23[[#Headers],[Topic 10]],""),IF($L$14="Virtualization",IF('Job_Topic-Skill_Matrix'!N44=1,Table23[[#Headers],[Topic 10]],""),IF($L$14="Radio Frequency",IF('Job_Topic-Skill_Matrix'!N54=1,Table23[[#Headers],[Topic 10]],""),NA()))))))</f>
        <v/>
      </c>
      <c r="AA14" s="96" t="str">
        <f>(_xlfn.SINGLE(IF($L$14="Database Administration",IF(Table23[[#This Row],[Topic 11]]=1,Table23[[#Headers],[Topic 11]],""),IF($L$14="Root Cause Analysis",IF('Job_Topic-Skill_Matrix'!O31=1,Table23[[#Headers],[Topic 11]],""),IF($L$14="Virtualization",IF('Job_Topic-Skill_Matrix'!O44=1,Table23[[#Headers],[Topic 11]],""),IF($L$14="Radio Frequency",IF('Job_Topic-Skill_Matrix'!O54=1,Table23[[#Headers],[Topic 11]],""),NA()))))))</f>
        <v/>
      </c>
      <c r="AB14" s="96" t="str">
        <f>(_xlfn.SINGLE(IF($L$14="Database Administration",IF(Table23[[#This Row],[Topic 12]]=1,Table23[[#Headers],[Topic 12]],""),IF($L$14="Root Cause Analysis",IF('Job_Topic-Skill_Matrix'!P31=1,Table23[[#Headers],[Topic 12]],""),IF($L$14="Virtualization",IF('Job_Topic-Skill_Matrix'!P44=1,Table23[[#Headers],[Topic 12]],""),IF($L$14="Radio Frequency",IF('Job_Topic-Skill_Matrix'!P54=1,Table23[[#Headers],[Topic 12]],""),NA()))))))</f>
        <v/>
      </c>
      <c r="AC14" s="96" t="str">
        <f>(_xlfn.SINGLE(IF($L$14="Database Administration",IF(Table23[[#This Row],[Topic 13]]=1,Table23[[#Headers],[Topic 13]],""),IF($L$14="Root Cause Analysis",IF('Job_Topic-Skill_Matrix'!Q31=1,Table23[[#Headers],[Topic 13]],""),IF($L$14="Virtualization",IF('Job_Topic-Skill_Matrix'!Q44=1,Table23[[#Headers],[Topic 13]],""),IF($L$14="Radio Frequency",IF('Job_Topic-Skill_Matrix'!Q54=1,Table23[[#Headers],[Topic 13]],""),NA()))))))</f>
        <v/>
      </c>
      <c r="AD14" s="96" t="str">
        <f>(_xlfn.SINGLE(IF($L$14="Database Administration",IF(Table23[[#This Row],[Topic 14]]=1,Table23[[#Headers],[Topic 14]],""),IF($L$14="Root Cause Analysis",IF('Job_Topic-Skill_Matrix'!R31=1,Table23[[#Headers],[Topic 14]],""),IF($L$14="Virtualization",IF('Job_Topic-Skill_Matrix'!R44=1,Table23[[#Headers],[Topic 14]],""),IF($L$14="Radio Frequency",IF('Job_Topic-Skill_Matrix'!R54=1,Table23[[#Headers],[Topic 14]],""),NA()))))))</f>
        <v/>
      </c>
      <c r="AE14" s="96" t="str">
        <f>(_xlfn.SINGLE(IF($L$14="Database Administration",IF(Table23[[#This Row],[Topic 15]]=1,Table23[[#Headers],[Topic 15]],""),IF($L$14="Root Cause Analysis",IF('Job_Topic-Skill_Matrix'!S31=1,Table23[[#Headers],[Topic 15]],""),IF($L$14="Virtualization",IF('Job_Topic-Skill_Matrix'!S44=1,Table23[[#Headers],[Topic 15]],""),IF($L$14="Radio Frequency",IF('Job_Topic-Skill_Matrix'!S54=1,Table23[[#Headers],[Topic 15]],""),NA()))))))</f>
        <v/>
      </c>
      <c r="AF14" s="96" t="str">
        <f>(_xlfn.SINGLE(IF($L$14="Database Administration",IF(Table23[[#This Row],[Topic 16]]=1,Table23[[#Headers],[Topic 16]],""),IF($L$14="Root Cause Analysis",IF('Job_Topic-Skill_Matrix'!T31=1,Table23[[#Headers],[Topic 16]],""),IF($L$14="Virtualization",IF('Job_Topic-Skill_Matrix'!T44=1,Table23[[#Headers],[Topic 16]],""),IF($L$14="Radio Frequency",IF('Job_Topic-Skill_Matrix'!T54=1,Table23[[#Headers],[Topic 16]],""),NA()))))))</f>
        <v/>
      </c>
      <c r="AG14" s="96" t="str">
        <f>(_xlfn.SINGLE(IF($L$14="Database Administration",IF(Table23[[#This Row],[Topic 17]]=1,Table23[[#Headers],[Topic 17]],""),IF($L$14="Root Cause Analysis",IF('Job_Topic-Skill_Matrix'!U31=1,Table23[[#Headers],[Topic 17]],""),IF($L$14="Virtualization",IF('Job_Topic-Skill_Matrix'!U44=1,Table23[[#Headers],[Topic 17]],""),IF($L$14="Radio Frequency",IF('Job_Topic-Skill_Matrix'!U54=1,Table23[[#Headers],[Topic 17]],""),NA()))))))</f>
        <v/>
      </c>
      <c r="AH14" s="96" t="str">
        <f>(_xlfn.SINGLE(IF($L$14="Database Administration",IF(Table23[[#This Row],[Topic 18]]=1,Table23[[#Headers],[Topic 18]],""),IF($L$14="Root Cause Analysis",IF('Job_Topic-Skill_Matrix'!V31=1,Table23[[#Headers],[Topic 18]],""),IF($L$14="Virtualization",IF('Job_Topic-Skill_Matrix'!V44=1,Table23[[#Headers],[Topic 18]],""),IF($L$14="Radio Frequency",IF('Job_Topic-Skill_Matrix'!V54=1,Table23[[#Headers],[Topic 18]],""),NA()))))))</f>
        <v/>
      </c>
      <c r="AI14" s="103" t="str">
        <f>(_xlfn.SINGLE(IF($L$14="Database Administration",IF(Table23[[#This Row],[Topic 19]]=1,Table23[[#Headers],[Topic 19]],""),IF($L$14="Root Cause Analysis",IF('Job_Topic-Skill_Matrix'!W31=1,Table23[[#Headers],[Topic 19]],""),IF($L$14="Virtualization",IF('Job_Topic-Skill_Matrix'!W44=1,Table23[[#Headers],[Topic 19]],""),IF($L$14="Radio Frequency",IF('Job_Topic-Skill_Matrix'!W54=1,Table23[[#Headers],[Topic 19]],""),NA()))))))</f>
        <v/>
      </c>
      <c r="AN14" s="106"/>
      <c r="AO14" s="107"/>
      <c r="AP14" s="106"/>
      <c r="AQ14" s="43"/>
      <c r="AR14" s="106"/>
      <c r="AS14" s="107"/>
      <c r="AT14" s="107" t="s">
        <v>84</v>
      </c>
      <c r="AU14" s="107"/>
      <c r="AV14" s="106"/>
      <c r="AW14" s="107"/>
      <c r="AX14" s="106"/>
      <c r="AY14" s="107"/>
      <c r="AZ14" s="107" t="s">
        <v>85</v>
      </c>
      <c r="BA14" s="3"/>
      <c r="BB14" s="43" t="s">
        <v>86</v>
      </c>
    </row>
    <row r="15" spans="1:54" ht="15" customHeight="1" x14ac:dyDescent="0.35">
      <c r="B15" t="s">
        <v>81</v>
      </c>
      <c r="C15" t="s">
        <v>82</v>
      </c>
      <c r="D15" t="s">
        <v>82</v>
      </c>
      <c r="E15" t="s">
        <v>89</v>
      </c>
      <c r="G15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>Data Mining</v>
      </c>
      <c r="H15" s="18" t="str">
        <v>Data Mining</v>
      </c>
      <c r="I15" s="66" t="b">
        <v>1</v>
      </c>
      <c r="K15" t="s">
        <v>90</v>
      </c>
      <c r="L15" s="5" t="str">
        <f>IF(I15=TRUE,VLOOKUP(H15,Table23[Skill / Domain Knowledge],1,FALSE),"")</f>
        <v>Data Mining</v>
      </c>
      <c r="P15" s="93" t="str">
        <f>(_xlfn.SINGLE(IF($L$15="Data Mining",IF(Table23[[#This Row],[Topic 0]]=1,Table23[[#Headers],[Topic 0]],""),IF($L$15="Statistical Process Control",IF('Job_Topic-Skill_Matrix'!D32=1,Table23[[#Headers],[Topic 0]],""),IF($L$15=".NET Framework",IF('Job_Topic-Skill_Matrix'!D45=1,Table23[[#Headers],[Topic 0]],""),IF($L$15="Logic Analyzer",IF('Job_Topic-Skill_Matrix'!D55=1,Table23[[#Headers],[Topic 0]],""),NA()))))))</f>
        <v/>
      </c>
      <c r="Q15" s="96" t="str">
        <f>(_xlfn.SINGLE(IF($L$15="Data Mining",IF(Table23[[#This Row],[Topic 1]]=1,Table23[[#Headers],[Topic 1]],""),IF($L$15="Statistical Process Control",IF('Job_Topic-Skill_Matrix'!E32=1,Table23[[#Headers],[Topic 1]],""),IF($L$15=".NET Framework",IF('Job_Topic-Skill_Matrix'!E45=1,Table23[[#Headers],[Topic 1]],""),IF($L$15="Logic Analyzer",IF('Job_Topic-Skill_Matrix'!E55=1,Table23[[#Headers],[Topic 1]],""),NA()))))))</f>
        <v/>
      </c>
      <c r="R15" s="96" t="str">
        <f>(_xlfn.SINGLE(IF($L$15="Data Mining",IF(Table23[[#This Row],[Topic 2]]=1,Table23[[#Headers],[Topic 2]],""),IF($L$15="Statistical Process Control",IF('Job_Topic-Skill_Matrix'!F32=1,Table23[[#Headers],[Topic 2]],""),IF($L$15=".NET Framework",IF('Job_Topic-Skill_Matrix'!F45=1,Table23[[#Headers],[Topic 2]],""),IF($L$15="Logic Analyzer",IF('Job_Topic-Skill_Matrix'!F55=1,Table23[[#Headers],[Topic 2]],""),NA()))))))</f>
        <v>Topic 2</v>
      </c>
      <c r="S15" s="96" t="str">
        <f>(_xlfn.SINGLE(IF($L$15="Data Mining",IF(Table23[[#This Row],[Topic 3]]=1,Table23[[#Headers],[Topic 3]],""),IF($L$15="Statistical Process Control",IF('Job_Topic-Skill_Matrix'!G32=1,Table23[[#Headers],[Topic 3]],""),IF($L$15=".NET Framework",IF('Job_Topic-Skill_Matrix'!G45=1,Table23[[#Headers],[Topic 3]],""),IF($L$15="Logic Analyzer",IF('Job_Topic-Skill_Matrix'!G55=1,Table23[[#Headers],[Topic 3]],""),NA()))))))</f>
        <v>Topic 3</v>
      </c>
      <c r="T15" s="96" t="str">
        <f>(_xlfn.SINGLE(IF($L$15="Data Mining",IF(Table23[[#This Row],[Topic 4]]=1,Table23[[#Headers],[Topic 4]],""),IF($L$15="Statistical Process Control",IF('Job_Topic-Skill_Matrix'!H32=1,Table23[[#Headers],[Topic 4]],""),IF($L$15=".NET Framework",IF('Job_Topic-Skill_Matrix'!H45=1,Table23[[#Headers],[Topic 4]],""),IF($L$15="Logic Analyzer",IF('Job_Topic-Skill_Matrix'!H55=1,Table23[[#Headers],[Topic 4]],""),NA()))))))</f>
        <v>Topic 4</v>
      </c>
      <c r="U15" s="96" t="str">
        <f>(_xlfn.SINGLE(IF($L$15="Data Mining",IF(Table23[[#This Row],[Topic 5]]=1,Table23[[#Headers],[Topic 5]],""),IF($L$15="Statistical Process Control",IF('Job_Topic-Skill_Matrix'!I32=1,Table23[[#Headers],[Topic 5]],""),IF($L$15=".NET Framework",IF('Job_Topic-Skill_Matrix'!I45=1,Table23[[#Headers],[Topic 5]],""),IF($L$15="Logic Analyzer",IF('Job_Topic-Skill_Matrix'!I55=1,Table23[[#Headers],[Topic 5]],""),NA()))))))</f>
        <v>Topic 5</v>
      </c>
      <c r="V15" s="96" t="str">
        <f>(_xlfn.SINGLE(IF($L$15="Data Mining",IF(Table23[[#This Row],[Topic 6]]=1,Table23[[#Headers],[Topic 6]],""),IF($L$15="Statistical Process Control",IF('Job_Topic-Skill_Matrix'!J32=1,Table23[[#Headers],[Topic 6]],""),IF($L$15=".NET Framework",IF('Job_Topic-Skill_Matrix'!J45=1,Table23[[#Headers],[Topic 6]],""),IF($L$15="Logic Analyzer",IF('Job_Topic-Skill_Matrix'!J55=1,Table23[[#Headers],[Topic 6]],""),NA()))))))</f>
        <v/>
      </c>
      <c r="W15" s="96" t="str">
        <f>(_xlfn.SINGLE(IF($L$15="Data Mining",IF(Table23[[#This Row],[Topic 7]]=1,Table23[[#Headers],[Topic 7]],""),IF($L$15="Statistical Process Control",IF('Job_Topic-Skill_Matrix'!K32=1,Table23[[#Headers],[Topic 7]],""),IF($L$15=".NET Framework",IF('Job_Topic-Skill_Matrix'!K45=1,Table23[[#Headers],[Topic 7]],""),IF($L$15="Logic Analyzer",IF('Job_Topic-Skill_Matrix'!K55=1,Table23[[#Headers],[Topic 7]],""),NA()))))))</f>
        <v/>
      </c>
      <c r="X15" s="96" t="str">
        <f>(_xlfn.SINGLE(IF($L$15="Data Mining",IF(Table23[[#This Row],[Topic 8]]=1,Table23[[#Headers],[Topic 8]],""),IF($L$15="Statistical Process Control",IF('Job_Topic-Skill_Matrix'!L32=1,Table23[[#Headers],[Topic 8]],""),IF($L$15=".NET Framework",IF('Job_Topic-Skill_Matrix'!L45=1,Table23[[#Headers],[Topic 8]],""),IF($L$15="Logic Analyzer",IF('Job_Topic-Skill_Matrix'!L55=1,Table23[[#Headers],[Topic 8]],""),NA()))))))</f>
        <v/>
      </c>
      <c r="Y15" s="96" t="str">
        <f>(_xlfn.SINGLE(IF($L$15="Data Mining",IF(Table23[[#This Row],[Topic 9]]=1,Table23[[#Headers],[Topic 9]],""),IF($L$15="Statistical Process Control",IF('Job_Topic-Skill_Matrix'!M32=1,Table23[[#Headers],[Topic 9]],""),IF($L$15=".NET Framework",IF('Job_Topic-Skill_Matrix'!M45=1,Table23[[#Headers],[Topic 9]],""),IF($L$15="Logic Analyzer",IF('Job_Topic-Skill_Matrix'!M55=1,Table23[[#Headers],[Topic 9]],""),NA()))))))</f>
        <v/>
      </c>
      <c r="Z15" s="96" t="str">
        <f>(_xlfn.SINGLE(IF($L$15="Data Mining",IF(Table23[[#This Row],[Topic 10]]=1,Table23[[#Headers],[Topic 10]],""),IF($L$15="Statistical Process Control",IF('Job_Topic-Skill_Matrix'!N32=1,Table23[[#Headers],[Topic 10]],""),IF($L$15=".NET Framework",IF('Job_Topic-Skill_Matrix'!N45=1,Table23[[#Headers],[Topic 10]],""),IF($L$15="Logic Analyzer",IF('Job_Topic-Skill_Matrix'!N55=1,Table23[[#Headers],[Topic 10]],""),NA()))))))</f>
        <v>Topic 10</v>
      </c>
      <c r="AA15" s="96" t="str">
        <f>(_xlfn.SINGLE(IF($L$15="Data Mining",IF(Table23[[#This Row],[Topic 11]]=1,Table23[[#Headers],[Topic 11]],""),IF($L$15="Statistical Process Control",IF('Job_Topic-Skill_Matrix'!O32=1,Table23[[#Headers],[Topic 11]],""),IF($L$15=".NET Framework",IF('Job_Topic-Skill_Matrix'!O45=1,Table23[[#Headers],[Topic 11]],""),IF($L$15="Logic Analyzer",IF('Job_Topic-Skill_Matrix'!O55=1,Table23[[#Headers],[Topic 11]],""),NA()))))))</f>
        <v/>
      </c>
      <c r="AB15" s="96" t="str">
        <f>(_xlfn.SINGLE(IF($L$15="Data Mining",IF(Table23[[#This Row],[Topic 12]]=1,Table23[[#Headers],[Topic 12]],""),IF($L$15="Statistical Process Control",IF('Job_Topic-Skill_Matrix'!P32=1,Table23[[#Headers],[Topic 12]],""),IF($L$15=".NET Framework",IF('Job_Topic-Skill_Matrix'!P45=1,Table23[[#Headers],[Topic 12]],""),IF($L$15="Logic Analyzer",IF('Job_Topic-Skill_Matrix'!P55=1,Table23[[#Headers],[Topic 12]],""),NA()))))))</f>
        <v/>
      </c>
      <c r="AC15" s="96" t="str">
        <f>(_xlfn.SINGLE(IF($L$15="Data Mining",IF(Table23[[#This Row],[Topic 13]]=1,Table23[[#Headers],[Topic 13]],""),IF($L$15="Statistical Process Control",IF('Job_Topic-Skill_Matrix'!Q32=1,Table23[[#Headers],[Topic 13]],""),IF($L$15=".NET Framework",IF('Job_Topic-Skill_Matrix'!Q45=1,Table23[[#Headers],[Topic 13]],""),IF($L$15="Logic Analyzer",IF('Job_Topic-Skill_Matrix'!Q55=1,Table23[[#Headers],[Topic 13]],""),NA()))))))</f>
        <v/>
      </c>
      <c r="AD15" s="96" t="str">
        <f>(_xlfn.SINGLE(IF($L$15="Data Mining",IF(Table23[[#This Row],[Topic 14]]=1,Table23[[#Headers],[Topic 14]],""),IF($L$15="Statistical Process Control",IF('Job_Topic-Skill_Matrix'!R32=1,Table23[[#Headers],[Topic 14]],""),IF($L$15=".NET Framework",IF('Job_Topic-Skill_Matrix'!R45=1,Table23[[#Headers],[Topic 14]],""),IF($L$15="Logic Analyzer",IF('Job_Topic-Skill_Matrix'!R55=1,Table23[[#Headers],[Topic 14]],""),NA()))))))</f>
        <v/>
      </c>
      <c r="AE15" s="96" t="str">
        <f>(_xlfn.SINGLE(IF($L$15="Data Mining",IF(Table23[[#This Row],[Topic 15]]=1,Table23[[#Headers],[Topic 15]],""),IF($L$15="Statistical Process Control",IF('Job_Topic-Skill_Matrix'!S32=1,Table23[[#Headers],[Topic 15]],""),IF($L$15=".NET Framework",IF('Job_Topic-Skill_Matrix'!S45=1,Table23[[#Headers],[Topic 15]],""),IF($L$15="Logic Analyzer",IF('Job_Topic-Skill_Matrix'!S55=1,Table23[[#Headers],[Topic 15]],""),NA()))))))</f>
        <v/>
      </c>
      <c r="AF15" s="96" t="str">
        <f>(_xlfn.SINGLE(IF($L$15="Data Mining",IF(Table23[[#This Row],[Topic 16]]=1,Table23[[#Headers],[Topic 16]],""),IF($L$15="Statistical Process Control",IF('Job_Topic-Skill_Matrix'!T32=1,Table23[[#Headers],[Topic 16]],""),IF($L$15=".NET Framework",IF('Job_Topic-Skill_Matrix'!T45=1,Table23[[#Headers],[Topic 16]],""),IF($L$15="Logic Analyzer",IF('Job_Topic-Skill_Matrix'!T55=1,Table23[[#Headers],[Topic 16]],""),NA()))))))</f>
        <v>Topic 16</v>
      </c>
      <c r="AG15" s="96" t="str">
        <f>(_xlfn.SINGLE(IF($L$15="Data Mining",IF(Table23[[#This Row],[Topic 17]]=1,Table23[[#Headers],[Topic 17]],""),IF($L$15="Statistical Process Control",IF('Job_Topic-Skill_Matrix'!U32=1,Table23[[#Headers],[Topic 17]],""),IF($L$15=".NET Framework",IF('Job_Topic-Skill_Matrix'!U45=1,Table23[[#Headers],[Topic 17]],""),IF($L$15="Logic Analyzer",IF('Job_Topic-Skill_Matrix'!U55=1,Table23[[#Headers],[Topic 17]],""),NA()))))))</f>
        <v/>
      </c>
      <c r="AH15" s="96" t="str">
        <f>(_xlfn.SINGLE(IF($L$15="Data Mining",IF(Table23[[#This Row],[Topic 18]]=1,Table23[[#Headers],[Topic 18]],""),IF($L$15="Statistical Process Control",IF('Job_Topic-Skill_Matrix'!V32=1,Table23[[#Headers],[Topic 18]],""),IF($L$15=".NET Framework",IF('Job_Topic-Skill_Matrix'!V45=1,Table23[[#Headers],[Topic 18]],""),IF($L$15="Logic Analyzer",IF('Job_Topic-Skill_Matrix'!V55=1,Table23[[#Headers],[Topic 18]],""),NA()))))))</f>
        <v/>
      </c>
      <c r="AI15" s="103" t="str">
        <f>(_xlfn.SINGLE(IF($L$15="Data Mining",IF(Table23[[#This Row],[Topic 19]]=1,Table23[[#Headers],[Topic 19]],""),IF($L$15="Statistical Process Control",IF('Job_Topic-Skill_Matrix'!W32=1,Table23[[#Headers],[Topic 19]],""),IF($L$15=".NET Framework",IF('Job_Topic-Skill_Matrix'!W45=1,Table23[[#Headers],[Topic 19]],""),IF($L$15="Logic Analyzer",IF('Job_Topic-Skill_Matrix'!W55=1,Table23[[#Headers],[Topic 19]],""),NA()))))))</f>
        <v>Topic 19</v>
      </c>
      <c r="AN15" s="106"/>
      <c r="AO15" s="107"/>
      <c r="AP15" s="106"/>
      <c r="AQ15" s="43"/>
      <c r="AR15" s="106"/>
      <c r="AS15" s="107"/>
      <c r="AT15" s="106"/>
      <c r="AU15" s="107"/>
      <c r="AV15" s="106"/>
      <c r="AW15" s="107"/>
      <c r="AX15" s="106"/>
      <c r="AY15" s="107"/>
      <c r="AZ15" s="106"/>
      <c r="BA15" s="3"/>
      <c r="BB15" s="43" t="s">
        <v>91</v>
      </c>
    </row>
    <row r="16" spans="1:54" ht="15" customHeight="1" x14ac:dyDescent="0.35">
      <c r="B16" t="s">
        <v>87</v>
      </c>
      <c r="C16" s="4" t="s">
        <v>93</v>
      </c>
      <c r="D16" t="s">
        <v>88</v>
      </c>
      <c r="E16" s="4" t="s">
        <v>94</v>
      </c>
      <c r="F16" s="37"/>
      <c r="G16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>Mathematical Optimization</v>
      </c>
      <c r="H16" s="18" t="str">
        <v>Mathematical Optimization</v>
      </c>
      <c r="I16" s="66" t="b">
        <v>1</v>
      </c>
      <c r="K16" t="s">
        <v>95</v>
      </c>
      <c r="L16" s="5" t="str">
        <f>IF(I16=TRUE,VLOOKUP(H16,Table23[Skill / Domain Knowledge],1,FALSE),"")</f>
        <v>Mathematical Optimization</v>
      </c>
      <c r="P16" s="93" t="str">
        <f>(_xlfn.SINGLE(IF($L$16="Mathematical Optimization",IF(Table23[[#This Row],[Topic 0]]=1,Table23[[#Headers],[Topic 0]],""),IF($L$16="Preventative Maintenance",IF('Job_Topic-Skill_Matrix'!D33=1,Table23[[#Headers],[Topic 0]],""),IF($L$16="TCP/IP",IF('Job_Topic-Skill_Matrix'!D46=1,Table23[[#Headers],[Topic 0]],""),IF($L$16="Systems Integration",IF('Job_Topic-Skill_Matrix'!D56=1,Table23[[#Headers],[Topic 0]],""),NA()))))))</f>
        <v/>
      </c>
      <c r="Q16" s="96" t="str">
        <f>(_xlfn.SINGLE(IF($L$16="Mathematical Optimization",IF(Table23[[#This Row],[Topic 1]]=1,Table23[[#Headers],[Topic 1]],""),IF($L$16="Preventative Maintenance",IF('Job_Topic-Skill_Matrix'!E33=1,Table23[[#Headers],[Topic 1]],""),IF($L$16="TCP/IP",IF('Job_Topic-Skill_Matrix'!E46=1,Table23[[#Headers],[Topic 1]],""),IF($L$16="Systems Integration",IF('Job_Topic-Skill_Matrix'!E56=1,Table23[[#Headers],[Topic 1]],""),NA()))))))</f>
        <v/>
      </c>
      <c r="R16" s="96" t="str">
        <f>(_xlfn.SINGLE(IF($L$16="Mathematical Optimization",IF(Table23[[#This Row],[Topic 2]]=1,Table23[[#Headers],[Topic 2]],""),IF($L$16="Preventative Maintenance",IF('Job_Topic-Skill_Matrix'!F33=1,Table23[[#Headers],[Topic 2]],""),IF($L$16="TCP/IP",IF('Job_Topic-Skill_Matrix'!F46=1,Table23[[#Headers],[Topic 2]],""),IF($L$16="Systems Integration",IF('Job_Topic-Skill_Matrix'!F56=1,Table23[[#Headers],[Topic 2]],""),NA()))))))</f>
        <v/>
      </c>
      <c r="S16" s="96" t="str">
        <f>(_xlfn.SINGLE(IF($L$16="Mathematical Optimization",IF(Table23[[#This Row],[Topic 3]]=1,Table23[[#Headers],[Topic 3]],""),IF($L$16="Preventative Maintenance",IF('Job_Topic-Skill_Matrix'!G33=1,Table23[[#Headers],[Topic 3]],""),IF($L$16="TCP/IP",IF('Job_Topic-Skill_Matrix'!G46=1,Table23[[#Headers],[Topic 3]],""),IF($L$16="Systems Integration",IF('Job_Topic-Skill_Matrix'!G56=1,Table23[[#Headers],[Topic 3]],""),NA()))))))</f>
        <v/>
      </c>
      <c r="T16" s="96" t="str">
        <f>(_xlfn.SINGLE(IF($L$16="Mathematical Optimization",IF(Table23[[#This Row],[Topic 4]]=1,Table23[[#Headers],[Topic 4]],""),IF($L$16="Preventative Maintenance",IF('Job_Topic-Skill_Matrix'!H33=1,Table23[[#Headers],[Topic 4]],""),IF($L$16="TCP/IP",IF('Job_Topic-Skill_Matrix'!H46=1,Table23[[#Headers],[Topic 4]],""),IF($L$16="Systems Integration",IF('Job_Topic-Skill_Matrix'!H56=1,Table23[[#Headers],[Topic 4]],""),NA()))))))</f>
        <v/>
      </c>
      <c r="U16" s="96" t="str">
        <f>(_xlfn.SINGLE(IF($L$16="Mathematical Optimization",IF(Table23[[#This Row],[Topic 5]]=1,Table23[[#Headers],[Topic 5]],""),IF($L$16="Preventative Maintenance",IF('Job_Topic-Skill_Matrix'!I33=1,Table23[[#Headers],[Topic 5]],""),IF($L$16="TCP/IP",IF('Job_Topic-Skill_Matrix'!I46=1,Table23[[#Headers],[Topic 5]],""),IF($L$16="Systems Integration",IF('Job_Topic-Skill_Matrix'!I56=1,Table23[[#Headers],[Topic 5]],""),NA()))))))</f>
        <v/>
      </c>
      <c r="V16" s="96" t="str">
        <f>(_xlfn.SINGLE(IF($L$16="Mathematical Optimization",IF(Table23[[#This Row],[Topic 6]]=1,Table23[[#Headers],[Topic 6]],""),IF($L$16="Preventative Maintenance",IF('Job_Topic-Skill_Matrix'!J33=1,Table23[[#Headers],[Topic 6]],""),IF($L$16="TCP/IP",IF('Job_Topic-Skill_Matrix'!J46=1,Table23[[#Headers],[Topic 6]],""),IF($L$16="Systems Integration",IF('Job_Topic-Skill_Matrix'!J56=1,Table23[[#Headers],[Topic 6]],""),NA()))))))</f>
        <v/>
      </c>
      <c r="W16" s="96" t="str">
        <f>(_xlfn.SINGLE(IF($L$16="Mathematical Optimization",IF(Table23[[#This Row],[Topic 7]]=1,Table23[[#Headers],[Topic 7]],""),IF($L$16="Preventative Maintenance",IF('Job_Topic-Skill_Matrix'!K33=1,Table23[[#Headers],[Topic 7]],""),IF($L$16="TCP/IP",IF('Job_Topic-Skill_Matrix'!K46=1,Table23[[#Headers],[Topic 7]],""),IF($L$16="Systems Integration",IF('Job_Topic-Skill_Matrix'!K56=1,Table23[[#Headers],[Topic 7]],""),NA()))))))</f>
        <v>Topic 7</v>
      </c>
      <c r="X16" s="96" t="str">
        <f>(_xlfn.SINGLE(IF($L$16="Mathematical Optimization",IF(Table23[[#This Row],[Topic 8]]=1,Table23[[#Headers],[Topic 8]],""),IF($L$16="Preventative Maintenance",IF('Job_Topic-Skill_Matrix'!L33=1,Table23[[#Headers],[Topic 8]],""),IF($L$16="TCP/IP",IF('Job_Topic-Skill_Matrix'!L46=1,Table23[[#Headers],[Topic 8]],""),IF($L$16="Systems Integration",IF('Job_Topic-Skill_Matrix'!L56=1,Table23[[#Headers],[Topic 8]],""),NA()))))))</f>
        <v/>
      </c>
      <c r="Y16" s="96" t="str">
        <f>(_xlfn.SINGLE(IF($L$16="Mathematical Optimization",IF(Table23[[#This Row],[Topic 9]]=1,Table23[[#Headers],[Topic 9]],""),IF($L$16="Preventative Maintenance",IF('Job_Topic-Skill_Matrix'!M33=1,Table23[[#Headers],[Topic 9]],""),IF($L$16="TCP/IP",IF('Job_Topic-Skill_Matrix'!M46=1,Table23[[#Headers],[Topic 9]],""),IF($L$16="Systems Integration",IF('Job_Topic-Skill_Matrix'!M56=1,Table23[[#Headers],[Topic 9]],""),NA()))))))</f>
        <v/>
      </c>
      <c r="Z16" s="96" t="str">
        <f>(_xlfn.SINGLE(IF($L$16="Mathematical Optimization",IF(Table23[[#This Row],[Topic 10]]=1,Table23[[#Headers],[Topic 10]],""),IF($L$16="Preventative Maintenance",IF('Job_Topic-Skill_Matrix'!N33=1,Table23[[#Headers],[Topic 10]],""),IF($L$16="TCP/IP",IF('Job_Topic-Skill_Matrix'!N46=1,Table23[[#Headers],[Topic 10]],""),IF($L$16="Systems Integration",IF('Job_Topic-Skill_Matrix'!N56=1,Table23[[#Headers],[Topic 10]],""),NA()))))))</f>
        <v/>
      </c>
      <c r="AA16" s="96" t="str">
        <f>(_xlfn.SINGLE(IF($L$16="Mathematical Optimization",IF(Table23[[#This Row],[Topic 11]]=1,Table23[[#Headers],[Topic 11]],""),IF($L$16="Preventative Maintenance",IF('Job_Topic-Skill_Matrix'!O33=1,Table23[[#Headers],[Topic 11]],""),IF($L$16="TCP/IP",IF('Job_Topic-Skill_Matrix'!O46=1,Table23[[#Headers],[Topic 11]],""),IF($L$16="Systems Integration",IF('Job_Topic-Skill_Matrix'!O56=1,Table23[[#Headers],[Topic 11]],""),NA()))))))</f>
        <v>Topic 11</v>
      </c>
      <c r="AB16" s="96" t="str">
        <f>(_xlfn.SINGLE(IF($L$16="Mathematical Optimization",IF(Table23[[#This Row],[Topic 12]]=1,Table23[[#Headers],[Topic 12]],""),IF($L$16="Preventative Maintenance",IF('Job_Topic-Skill_Matrix'!P33=1,Table23[[#Headers],[Topic 12]],""),IF($L$16="TCP/IP",IF('Job_Topic-Skill_Matrix'!P46=1,Table23[[#Headers],[Topic 12]],""),IF($L$16="Systems Integration",IF('Job_Topic-Skill_Matrix'!P56=1,Table23[[#Headers],[Topic 12]],""),NA()))))))</f>
        <v/>
      </c>
      <c r="AC16" s="96" t="str">
        <f>(_xlfn.SINGLE(IF($L$16="Mathematical Optimization",IF(Table23[[#This Row],[Topic 13]]=1,Table23[[#Headers],[Topic 13]],""),IF($L$16="Preventative Maintenance",IF('Job_Topic-Skill_Matrix'!Q33=1,Table23[[#Headers],[Topic 13]],""),IF($L$16="TCP/IP",IF('Job_Topic-Skill_Matrix'!Q46=1,Table23[[#Headers],[Topic 13]],""),IF($L$16="Systems Integration",IF('Job_Topic-Skill_Matrix'!Q56=1,Table23[[#Headers],[Topic 13]],""),NA()))))))</f>
        <v>Topic 13</v>
      </c>
      <c r="AD16" s="96" t="str">
        <f>(_xlfn.SINGLE(IF($L$16="Mathematical Optimization",IF(Table23[[#This Row],[Topic 14]]=1,Table23[[#Headers],[Topic 14]],""),IF($L$16="Preventative Maintenance",IF('Job_Topic-Skill_Matrix'!R33=1,Table23[[#Headers],[Topic 14]],""),IF($L$16="TCP/IP",IF('Job_Topic-Skill_Matrix'!R46=1,Table23[[#Headers],[Topic 14]],""),IF($L$16="Systems Integration",IF('Job_Topic-Skill_Matrix'!R56=1,Table23[[#Headers],[Topic 14]],""),NA()))))))</f>
        <v>Topic 14</v>
      </c>
      <c r="AE16" s="96" t="str">
        <f>(_xlfn.SINGLE(IF($L$16="Mathematical Optimization",IF(Table23[[#This Row],[Topic 15]]=1,Table23[[#Headers],[Topic 15]],""),IF($L$16="Preventative Maintenance",IF('Job_Topic-Skill_Matrix'!S33=1,Table23[[#Headers],[Topic 15]],""),IF($L$16="TCP/IP",IF('Job_Topic-Skill_Matrix'!S46=1,Table23[[#Headers],[Topic 15]],""),IF($L$16="Systems Integration",IF('Job_Topic-Skill_Matrix'!S56=1,Table23[[#Headers],[Topic 15]],""),NA()))))))</f>
        <v>Topic 15</v>
      </c>
      <c r="AF16" s="96" t="str">
        <f>(_xlfn.SINGLE(IF($L$16="Mathematical Optimization",IF(Table23[[#This Row],[Topic 16]]=1,Table23[[#Headers],[Topic 16]],""),IF($L$16="Preventative Maintenance",IF('Job_Topic-Skill_Matrix'!T33=1,Table23[[#Headers],[Topic 16]],""),IF($L$16="TCP/IP",IF('Job_Topic-Skill_Matrix'!T46=1,Table23[[#Headers],[Topic 16]],""),IF($L$16="Systems Integration",IF('Job_Topic-Skill_Matrix'!T56=1,Table23[[#Headers],[Topic 16]],""),NA()))))))</f>
        <v/>
      </c>
      <c r="AG16" s="96" t="str">
        <f>(_xlfn.SINGLE(IF($L$16="Mathematical Optimization",IF(Table23[[#This Row],[Topic 17]]=1,Table23[[#Headers],[Topic 17]],""),IF($L$16="Preventative Maintenance",IF('Job_Topic-Skill_Matrix'!U33=1,Table23[[#Headers],[Topic 17]],""),IF($L$16="TCP/IP",IF('Job_Topic-Skill_Matrix'!U46=1,Table23[[#Headers],[Topic 17]],""),IF($L$16="Systems Integration",IF('Job_Topic-Skill_Matrix'!U56=1,Table23[[#Headers],[Topic 17]],""),NA()))))))</f>
        <v/>
      </c>
      <c r="AH16" s="96" t="str">
        <f>(_xlfn.SINGLE(IF($L$16="Mathematical Optimization",IF(Table23[[#This Row],[Topic 18]]=1,Table23[[#Headers],[Topic 18]],""),IF($L$16="Preventative Maintenance",IF('Job_Topic-Skill_Matrix'!V33=1,Table23[[#Headers],[Topic 18]],""),IF($L$16="TCP/IP",IF('Job_Topic-Skill_Matrix'!V46=1,Table23[[#Headers],[Topic 18]],""),IF($L$16="Systems Integration",IF('Job_Topic-Skill_Matrix'!V56=1,Table23[[#Headers],[Topic 18]],""),NA()))))))</f>
        <v/>
      </c>
      <c r="AI16" s="103" t="str">
        <f>(_xlfn.SINGLE(IF($L$16="Mathematical Optimization",IF(Table23[[#This Row],[Topic 19]]=1,Table23[[#Headers],[Topic 19]],""),IF($L$16="Preventative Maintenance",IF('Job_Topic-Skill_Matrix'!W33=1,Table23[[#Headers],[Topic 19]],""),IF($L$16="TCP/IP",IF('Job_Topic-Skill_Matrix'!W46=1,Table23[[#Headers],[Topic 19]],""),IF($L$16="Systems Integration",IF('Job_Topic-Skill_Matrix'!W56=1,Table23[[#Headers],[Topic 19]],""),NA()))))))</f>
        <v/>
      </c>
      <c r="AM16" s="14" t="s">
        <v>96</v>
      </c>
      <c r="AN16" s="109" t="s">
        <v>97</v>
      </c>
      <c r="AO16" s="109"/>
      <c r="AP16" s="109" t="s">
        <v>98</v>
      </c>
      <c r="AQ16" s="45"/>
      <c r="AR16" s="109" t="s">
        <v>285</v>
      </c>
      <c r="AS16" s="120"/>
      <c r="AT16" s="109" t="s">
        <v>99</v>
      </c>
      <c r="AU16" s="109"/>
      <c r="AV16" s="109" t="s">
        <v>100</v>
      </c>
      <c r="AW16" s="109"/>
      <c r="AX16" s="109" t="s">
        <v>101</v>
      </c>
      <c r="AY16" s="109"/>
      <c r="AZ16" s="109" t="s">
        <v>102</v>
      </c>
      <c r="BA16" s="3"/>
      <c r="BB16" s="43" t="s">
        <v>103</v>
      </c>
    </row>
    <row r="17" spans="2:54" ht="15" customHeight="1" x14ac:dyDescent="0.35">
      <c r="B17" t="s">
        <v>92</v>
      </c>
      <c r="C17" t="s">
        <v>76</v>
      </c>
      <c r="D17" t="s">
        <v>144</v>
      </c>
      <c r="E17" t="s">
        <v>106</v>
      </c>
      <c r="G17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>Data Architecture</v>
      </c>
      <c r="H17" s="18" t="str">
        <v>Data Architecture</v>
      </c>
      <c r="I17" s="66" t="b">
        <v>1</v>
      </c>
      <c r="K17" t="s">
        <v>107</v>
      </c>
      <c r="L17" s="5" t="str">
        <f>IF(I17=TRUE,VLOOKUP(H17,Table23[Skill / Domain Knowledge],1,FALSE),"")</f>
        <v>Data Architecture</v>
      </c>
      <c r="P17" s="93" t="str">
        <f>(_xlfn.SINGLE(IF($L$17="Data Architecture",IF(Table23[[#This Row],[Topic 0]]=1,Table23[[#Headers],[Topic 0]],""),IF($L$17="Control Systems",IF('Job_Topic-Skill_Matrix'!D34=1,Table23[[#Headers],[Topic 0]],""),IF($L$17="Cyber Engineering",IF('Job_Topic-Skill_Matrix'!D47=1,Table23[[#Headers],[Topic 0]],""),IF($L$17="Device Drivers",IF('Job_Topic-Skill_Matrix'!D57=1,Table23[[#Headers],[Topic 0]],""),NA()))))))</f>
        <v/>
      </c>
      <c r="Q17" s="96" t="str">
        <f>(_xlfn.SINGLE(IF($L$17="Data Architecture",IF(Table23[[#This Row],[Topic 1]]=1,Table23[[#Headers],[Topic 1]],""),IF($L$17="Control Systems",IF('Job_Topic-Skill_Matrix'!E34=1,Table23[[#Headers],[Topic 1]],""),IF($L$17="Cyber Engineering",IF('Job_Topic-Skill_Matrix'!E47=1,Table23[[#Headers],[Topic 1]],""),IF($L$17="Device Drivers",IF('Job_Topic-Skill_Matrix'!E57=1,Table23[[#Headers],[Topic 1]],""),NA()))))))</f>
        <v/>
      </c>
      <c r="R17" s="96" t="str">
        <f>(_xlfn.SINGLE(IF($L$17="Data Architecture",IF(Table23[[#This Row],[Topic 2]]=1,Table23[[#Headers],[Topic 2]],""),IF($L$17="Control Systems",IF('Job_Topic-Skill_Matrix'!F34=1,Table23[[#Headers],[Topic 2]],""),IF($L$17="Cyber Engineering",IF('Job_Topic-Skill_Matrix'!F47=1,Table23[[#Headers],[Topic 2]],""),IF($L$17="Device Drivers",IF('Job_Topic-Skill_Matrix'!F57=1,Table23[[#Headers],[Topic 2]],""),NA()))))))</f>
        <v/>
      </c>
      <c r="S17" s="96" t="str">
        <f>(_xlfn.SINGLE(IF($L$17="Data Architecture",IF(Table23[[#This Row],[Topic 3]]=1,Table23[[#Headers],[Topic 3]],""),IF($L$17="Control Systems",IF('Job_Topic-Skill_Matrix'!G34=1,Table23[[#Headers],[Topic 3]],""),IF($L$17="Cyber Engineering",IF('Job_Topic-Skill_Matrix'!G47=1,Table23[[#Headers],[Topic 3]],""),IF($L$17="Device Drivers",IF('Job_Topic-Skill_Matrix'!G57=1,Table23[[#Headers],[Topic 3]],""),NA()))))))</f>
        <v/>
      </c>
      <c r="T17" s="96" t="str">
        <f>(_xlfn.SINGLE(IF($L$17="Data Architecture",IF(Table23[[#This Row],[Topic 4]]=1,Table23[[#Headers],[Topic 4]],""),IF($L$17="Control Systems",IF('Job_Topic-Skill_Matrix'!H34=1,Table23[[#Headers],[Topic 4]],""),IF($L$17="Cyber Engineering",IF('Job_Topic-Skill_Matrix'!H47=1,Table23[[#Headers],[Topic 4]],""),IF($L$17="Device Drivers",IF('Job_Topic-Skill_Matrix'!H57=1,Table23[[#Headers],[Topic 4]],""),NA()))))))</f>
        <v>Topic 4</v>
      </c>
      <c r="U17" s="96" t="str">
        <f>(_xlfn.SINGLE(IF($L$17="Data Architecture",IF(Table23[[#This Row],[Topic 5]]=1,Table23[[#Headers],[Topic 5]],""),IF($L$17="Control Systems",IF('Job_Topic-Skill_Matrix'!I34=1,Table23[[#Headers],[Topic 5]],""),IF($L$17="Cyber Engineering",IF('Job_Topic-Skill_Matrix'!I47=1,Table23[[#Headers],[Topic 5]],""),IF($L$17="Device Drivers",IF('Job_Topic-Skill_Matrix'!I57=1,Table23[[#Headers],[Topic 5]],""),NA()))))))</f>
        <v/>
      </c>
      <c r="V17" s="96" t="str">
        <f>(_xlfn.SINGLE(IF($L$17="Data Architecture",IF(Table23[[#This Row],[Topic 6]]=1,Table23[[#Headers],[Topic 6]],""),IF($L$17="Control Systems",IF('Job_Topic-Skill_Matrix'!J34=1,Table23[[#Headers],[Topic 6]],""),IF($L$17="Cyber Engineering",IF('Job_Topic-Skill_Matrix'!J47=1,Table23[[#Headers],[Topic 6]],""),IF($L$17="Device Drivers",IF('Job_Topic-Skill_Matrix'!J57=1,Table23[[#Headers],[Topic 6]],""),NA()))))))</f>
        <v/>
      </c>
      <c r="W17" s="96" t="str">
        <f>(_xlfn.SINGLE(IF($L$17="Data Architecture",IF(Table23[[#This Row],[Topic 7]]=1,Table23[[#Headers],[Topic 7]],""),IF($L$17="Control Systems",IF('Job_Topic-Skill_Matrix'!K34=1,Table23[[#Headers],[Topic 7]],""),IF($L$17="Cyber Engineering",IF('Job_Topic-Skill_Matrix'!K47=1,Table23[[#Headers],[Topic 7]],""),IF($L$17="Device Drivers",IF('Job_Topic-Skill_Matrix'!K57=1,Table23[[#Headers],[Topic 7]],""),NA()))))))</f>
        <v/>
      </c>
      <c r="X17" s="96" t="str">
        <f>(_xlfn.SINGLE(IF($L$17="Data Architecture",IF(Table23[[#This Row],[Topic 8]]=1,Table23[[#Headers],[Topic 8]],""),IF($L$17="Control Systems",IF('Job_Topic-Skill_Matrix'!L34=1,Table23[[#Headers],[Topic 8]],""),IF($L$17="Cyber Engineering",IF('Job_Topic-Skill_Matrix'!L47=1,Table23[[#Headers],[Topic 8]],""),IF($L$17="Device Drivers",IF('Job_Topic-Skill_Matrix'!L57=1,Table23[[#Headers],[Topic 8]],""),NA()))))))</f>
        <v/>
      </c>
      <c r="Y17" s="96" t="str">
        <f>(_xlfn.SINGLE(IF($L$17="Data Architecture",IF(Table23[[#This Row],[Topic 9]]=1,Table23[[#Headers],[Topic 9]],""),IF($L$17="Control Systems",IF('Job_Topic-Skill_Matrix'!M34=1,Table23[[#Headers],[Topic 9]],""),IF($L$17="Cyber Engineering",IF('Job_Topic-Skill_Matrix'!M47=1,Table23[[#Headers],[Topic 9]],""),IF($L$17="Device Drivers",IF('Job_Topic-Skill_Matrix'!M57=1,Table23[[#Headers],[Topic 9]],""),NA()))))))</f>
        <v/>
      </c>
      <c r="Z17" s="96" t="str">
        <f>(_xlfn.SINGLE(IF($L$17="Data Architecture",IF(Table23[[#This Row],[Topic 10]]=1,Table23[[#Headers],[Topic 10]],""),IF($L$17="Control Systems",IF('Job_Topic-Skill_Matrix'!N34=1,Table23[[#Headers],[Topic 10]],""),IF($L$17="Cyber Engineering",IF('Job_Topic-Skill_Matrix'!N47=1,Table23[[#Headers],[Topic 10]],""),IF($L$17="Device Drivers",IF('Job_Topic-Skill_Matrix'!N57=1,Table23[[#Headers],[Topic 10]],""),NA()))))))</f>
        <v/>
      </c>
      <c r="AA17" s="96" t="str">
        <f>(_xlfn.SINGLE(IF($L$17="Data Architecture",IF(Table23[[#This Row],[Topic 11]]=1,Table23[[#Headers],[Topic 11]],""),IF($L$17="Control Systems",IF('Job_Topic-Skill_Matrix'!O34=1,Table23[[#Headers],[Topic 11]],""),IF($L$17="Cyber Engineering",IF('Job_Topic-Skill_Matrix'!O47=1,Table23[[#Headers],[Topic 11]],""),IF($L$17="Device Drivers",IF('Job_Topic-Skill_Matrix'!O57=1,Table23[[#Headers],[Topic 11]],""),NA()))))))</f>
        <v/>
      </c>
      <c r="AB17" s="96" t="str">
        <f>(_xlfn.SINGLE(IF($L$17="Data Architecture",IF(Table23[[#This Row],[Topic 12]]=1,Table23[[#Headers],[Topic 12]],""),IF($L$17="Control Systems",IF('Job_Topic-Skill_Matrix'!P34=1,Table23[[#Headers],[Topic 12]],""),IF($L$17="Cyber Engineering",IF('Job_Topic-Skill_Matrix'!P47=1,Table23[[#Headers],[Topic 12]],""),IF($L$17="Device Drivers",IF('Job_Topic-Skill_Matrix'!P57=1,Table23[[#Headers],[Topic 12]],""),NA()))))))</f>
        <v/>
      </c>
      <c r="AC17" s="96" t="str">
        <f>(_xlfn.SINGLE(IF($L$17="Data Architecture",IF(Table23[[#This Row],[Topic 13]]=1,Table23[[#Headers],[Topic 13]],""),IF($L$17="Control Systems",IF('Job_Topic-Skill_Matrix'!Q34=1,Table23[[#Headers],[Topic 13]],""),IF($L$17="Cyber Engineering",IF('Job_Topic-Skill_Matrix'!Q47=1,Table23[[#Headers],[Topic 13]],""),IF($L$17="Device Drivers",IF('Job_Topic-Skill_Matrix'!Q57=1,Table23[[#Headers],[Topic 13]],""),NA()))))))</f>
        <v/>
      </c>
      <c r="AD17" s="96" t="str">
        <f>(_xlfn.SINGLE(IF($L$17="Data Architecture",IF(Table23[[#This Row],[Topic 14]]=1,Table23[[#Headers],[Topic 14]],""),IF($L$17="Control Systems",IF('Job_Topic-Skill_Matrix'!R34=1,Table23[[#Headers],[Topic 14]],""),IF($L$17="Cyber Engineering",IF('Job_Topic-Skill_Matrix'!R47=1,Table23[[#Headers],[Topic 14]],""),IF($L$17="Device Drivers",IF('Job_Topic-Skill_Matrix'!R57=1,Table23[[#Headers],[Topic 14]],""),NA()))))))</f>
        <v/>
      </c>
      <c r="AE17" s="96" t="str">
        <f>(_xlfn.SINGLE(IF($L$17="Data Architecture",IF(Table23[[#This Row],[Topic 15]]=1,Table23[[#Headers],[Topic 15]],""),IF($L$17="Control Systems",IF('Job_Topic-Skill_Matrix'!S34=1,Table23[[#Headers],[Topic 15]],""),IF($L$17="Cyber Engineering",IF('Job_Topic-Skill_Matrix'!S47=1,Table23[[#Headers],[Topic 15]],""),IF($L$17="Device Drivers",IF('Job_Topic-Skill_Matrix'!S57=1,Table23[[#Headers],[Topic 15]],""),NA()))))))</f>
        <v/>
      </c>
      <c r="AF17" s="96" t="str">
        <f>(_xlfn.SINGLE(IF($L$17="Data Architecture",IF(Table23[[#This Row],[Topic 16]]=1,Table23[[#Headers],[Topic 16]],""),IF($L$17="Control Systems",IF('Job_Topic-Skill_Matrix'!T34=1,Table23[[#Headers],[Topic 16]],""),IF($L$17="Cyber Engineering",IF('Job_Topic-Skill_Matrix'!T47=1,Table23[[#Headers],[Topic 16]],""),IF($L$17="Device Drivers",IF('Job_Topic-Skill_Matrix'!T57=1,Table23[[#Headers],[Topic 16]],""),NA()))))))</f>
        <v/>
      </c>
      <c r="AG17" s="96" t="str">
        <f>(_xlfn.SINGLE(IF($L$17="Data Architecture",IF(Table23[[#This Row],[Topic 17]]=1,Table23[[#Headers],[Topic 17]],""),IF($L$17="Control Systems",IF('Job_Topic-Skill_Matrix'!U34=1,Table23[[#Headers],[Topic 17]],""),IF($L$17="Cyber Engineering",IF('Job_Topic-Skill_Matrix'!U47=1,Table23[[#Headers],[Topic 17]],""),IF($L$17="Device Drivers",IF('Job_Topic-Skill_Matrix'!U57=1,Table23[[#Headers],[Topic 17]],""),NA()))))))</f>
        <v/>
      </c>
      <c r="AH17" s="96" t="str">
        <f>(_xlfn.SINGLE(IF($L$17="Data Architecture",IF(Table23[[#This Row],[Topic 18]]=1,Table23[[#Headers],[Topic 18]],""),IF($L$17="Control Systems",IF('Job_Topic-Skill_Matrix'!V34=1,Table23[[#Headers],[Topic 18]],""),IF($L$17="Cyber Engineering",IF('Job_Topic-Skill_Matrix'!V47=1,Table23[[#Headers],[Topic 18]],""),IF($L$17="Device Drivers",IF('Job_Topic-Skill_Matrix'!V57=1,Table23[[#Headers],[Topic 18]],""),NA()))))))</f>
        <v/>
      </c>
      <c r="AI17" s="103" t="str">
        <f>(_xlfn.SINGLE(IF($L$17="Data Architecture",IF(Table23[[#This Row],[Topic 19]]=1,Table23[[#Headers],[Topic 19]],""),IF($L$17="Control Systems",IF('Job_Topic-Skill_Matrix'!W34=1,Table23[[#Headers],[Topic 19]],""),IF($L$17="Cyber Engineering",IF('Job_Topic-Skill_Matrix'!W47=1,Table23[[#Headers],[Topic 19]],""),IF($L$17="Device Drivers",IF('Job_Topic-Skill_Matrix'!W57=1,Table23[[#Headers],[Topic 19]],""),NA()))))))</f>
        <v/>
      </c>
      <c r="AN17" s="107" t="s">
        <v>108</v>
      </c>
      <c r="AO17" s="107"/>
      <c r="AP17" s="107" t="s">
        <v>109</v>
      </c>
      <c r="AQ17" s="43"/>
      <c r="AR17" s="107" t="s">
        <v>286</v>
      </c>
      <c r="AS17" s="108"/>
      <c r="AT17" s="107" t="s">
        <v>110</v>
      </c>
      <c r="AU17" s="107"/>
      <c r="AV17" s="107" t="s">
        <v>111</v>
      </c>
      <c r="AW17" s="107"/>
      <c r="AX17" s="107" t="s">
        <v>112</v>
      </c>
      <c r="AY17" s="107"/>
      <c r="AZ17" s="107" t="s">
        <v>113</v>
      </c>
      <c r="BA17" s="3"/>
      <c r="BB17" s="43" t="s">
        <v>114</v>
      </c>
    </row>
    <row r="18" spans="2:54" ht="15" customHeight="1" x14ac:dyDescent="0.35">
      <c r="B18" t="s">
        <v>104</v>
      </c>
      <c r="C18" t="s">
        <v>124</v>
      </c>
      <c r="D18" t="s">
        <v>105</v>
      </c>
      <c r="E18" t="s">
        <v>117</v>
      </c>
      <c r="G18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>Automation</v>
      </c>
      <c r="H18" s="18" t="str">
        <v>Automation</v>
      </c>
      <c r="I18" s="66" t="b">
        <v>1</v>
      </c>
      <c r="K18" t="s">
        <v>118</v>
      </c>
      <c r="L18" s="5" t="str">
        <f>IF(I18=TRUE,VLOOKUP(H18,Table23[Skill / Domain Knowledge],1,FALSE),"")</f>
        <v>Automation</v>
      </c>
      <c r="P18" s="93" t="str">
        <f>(_xlfn.SINGLE(IF($L$18="Automation",IF(Table23[[#This Row],[Topic 0]]=1,Table23[[#Headers],[Topic 0]],""),IF($L$18="Test Planning",IF('Job_Topic-Skill_Matrix'!D35=1,Table23[[#Headers],[Topic 0]],""),IF($L$18="Signal Generation",IF('Job_Topic-Skill_Matrix'!D58=1,Table23[[#Headers],[Topic 0]],""),NA())))))</f>
        <v/>
      </c>
      <c r="Q18" s="96" t="str">
        <f>(_xlfn.SINGLE(IF($L$18="Automation",IF(Table23[[#This Row],[Topic 1]]=1,Table23[[#Headers],[Topic 1]],""),IF($L$18="Test Planning",IF('Job_Topic-Skill_Matrix'!E35=1,Table23[[#Headers],[Topic 1]],""),IF($L$18="Signal Generation",IF('Job_Topic-Skill_Matrix'!E58=1,Table23[[#Headers],[Topic 1]],""),NA())))))</f>
        <v/>
      </c>
      <c r="R18" s="96" t="str">
        <f>(_xlfn.SINGLE(IF($L$18="Automation",IF(Table23[[#This Row],[Topic 2]]=1,Table23[[#Headers],[Topic 2]],""),IF($L$18="Test Planning",IF('Job_Topic-Skill_Matrix'!F35=1,Table23[[#Headers],[Topic 2]],""),IF($L$18="Signal Generation",IF('Job_Topic-Skill_Matrix'!F58=1,Table23[[#Headers],[Topic 2]],""),NA())))))</f>
        <v/>
      </c>
      <c r="S18" s="96" t="str">
        <f>(_xlfn.SINGLE(IF($L$18="Automation",IF(Table23[[#This Row],[Topic 3]]=1,Table23[[#Headers],[Topic 3]],""),IF($L$18="Test Planning",IF('Job_Topic-Skill_Matrix'!G35=1,Table23[[#Headers],[Topic 3]],""),IF($L$18="Signal Generation",IF('Job_Topic-Skill_Matrix'!G58=1,Table23[[#Headers],[Topic 3]],""),NA())))))</f>
        <v/>
      </c>
      <c r="T18" s="96" t="str">
        <f>(_xlfn.SINGLE(IF($L$18="Automation",IF(Table23[[#This Row],[Topic 4]]=1,Table23[[#Headers],[Topic 4]],""),IF($L$18="Test Planning",IF('Job_Topic-Skill_Matrix'!H35=1,Table23[[#Headers],[Topic 4]],""),IF($L$18="Signal Generation",IF('Job_Topic-Skill_Matrix'!H58=1,Table23[[#Headers],[Topic 4]],""),NA())))))</f>
        <v/>
      </c>
      <c r="U18" s="96" t="str">
        <f>(_xlfn.SINGLE(IF($L$18="Automation",IF(Table23[[#This Row],[Topic 5]]=1,Table23[[#Headers],[Topic 5]],""),IF($L$18="Test Planning",IF('Job_Topic-Skill_Matrix'!I35=1,Table23[[#Headers],[Topic 5]],""),IF($L$18="Signal Generation",IF('Job_Topic-Skill_Matrix'!I58=1,Table23[[#Headers],[Topic 5]],""),NA())))))</f>
        <v/>
      </c>
      <c r="V18" s="96" t="str">
        <f>(_xlfn.SINGLE(IF($L$18="Automation",IF(Table23[[#This Row],[Topic 6]]=1,Table23[[#Headers],[Topic 6]],""),IF($L$18="Test Planning",IF('Job_Topic-Skill_Matrix'!J35=1,Table23[[#Headers],[Topic 6]],""),IF($L$18="Signal Generation",IF('Job_Topic-Skill_Matrix'!J58=1,Table23[[#Headers],[Topic 6]],""),NA())))))</f>
        <v/>
      </c>
      <c r="W18" s="96" t="str">
        <f>(_xlfn.SINGLE(IF($L$18="Automation",IF(Table23[[#This Row],[Topic 7]]=1,Table23[[#Headers],[Topic 7]],""),IF($L$18="Test Planning",IF('Job_Topic-Skill_Matrix'!K35=1,Table23[[#Headers],[Topic 7]],""),IF($L$18="Signal Generation",IF('Job_Topic-Skill_Matrix'!K58=1,Table23[[#Headers],[Topic 7]],""),NA())))))</f>
        <v>Topic 7</v>
      </c>
      <c r="X18" s="96" t="str">
        <f>(_xlfn.SINGLE(IF($L$18="Automation",IF(Table23[[#This Row],[Topic 8]]=1,Table23[[#Headers],[Topic 8]],""),IF($L$18="Test Planning",IF('Job_Topic-Skill_Matrix'!L35=1,Table23[[#Headers],[Topic 8]],""),IF($L$18="Signal Generation",IF('Job_Topic-Skill_Matrix'!L58=1,Table23[[#Headers],[Topic 8]],""),NA())))))</f>
        <v>Topic 8</v>
      </c>
      <c r="Y18" s="96" t="str">
        <f>(_xlfn.SINGLE(IF($L$18="Automation",IF(Table23[[#This Row],[Topic 9]]=1,Table23[[#Headers],[Topic 9]],""),IF($L$18="Test Planning",IF('Job_Topic-Skill_Matrix'!M35=1,Table23[[#Headers],[Topic 9]],""),IF($L$18="Signal Generation",IF('Job_Topic-Skill_Matrix'!M58=1,Table23[[#Headers],[Topic 9]],""),NA())))))</f>
        <v>Topic 9</v>
      </c>
      <c r="Z18" s="96" t="str">
        <f>(_xlfn.SINGLE(IF($L$18="Automation",IF(Table23[[#This Row],[Topic 10]]=1,Table23[[#Headers],[Topic 10]],""),IF($L$18="Test Planning",IF('Job_Topic-Skill_Matrix'!N35=1,Table23[[#Headers],[Topic 10]],""),IF($L$18="Signal Generation",IF('Job_Topic-Skill_Matrix'!N58=1,Table23[[#Headers],[Topic 10]],""),NA())))))</f>
        <v>Topic 10</v>
      </c>
      <c r="AA18" s="96" t="str">
        <f>(_xlfn.SINGLE(IF($L$18="Automation",IF(Table23[[#This Row],[Topic 11]]=1,Table23[[#Headers],[Topic 11]],""),IF($L$18="Test Planning",IF('Job_Topic-Skill_Matrix'!O35=1,Table23[[#Headers],[Topic 11]],""),IF($L$18="Signal Generation",IF('Job_Topic-Skill_Matrix'!O58=1,Table23[[#Headers],[Topic 11]],""),NA())))))</f>
        <v/>
      </c>
      <c r="AB18" s="96" t="str">
        <f>(_xlfn.SINGLE(IF($L$18="Automation",IF(Table23[[#This Row],[Topic 12]]=1,Table23[[#Headers],[Topic 12]],""),IF($L$18="Test Planning",IF('Job_Topic-Skill_Matrix'!P35=1,Table23[[#Headers],[Topic 12]],""),IF($L$18="Signal Generation",IF('Job_Topic-Skill_Matrix'!P58=1,Table23[[#Headers],[Topic 12]],""),NA())))))</f>
        <v/>
      </c>
      <c r="AC18" s="96" t="str">
        <f>(_xlfn.SINGLE(IF($L$18="Automation",IF(Table23[[#This Row],[Topic 13]]=1,Table23[[#Headers],[Topic 13]],""),IF($L$18="Test Planning",IF('Job_Topic-Skill_Matrix'!Q35=1,Table23[[#Headers],[Topic 13]],""),IF($L$18="Signal Generation",IF('Job_Topic-Skill_Matrix'!Q58=1,Table23[[#Headers],[Topic 13]],""),NA())))))</f>
        <v/>
      </c>
      <c r="AD18" s="96" t="str">
        <f>(_xlfn.SINGLE(IF($L$18="Automation",IF(Table23[[#This Row],[Topic 14]]=1,Table23[[#Headers],[Topic 14]],""),IF($L$18="Test Planning",IF('Job_Topic-Skill_Matrix'!R35=1,Table23[[#Headers],[Topic 14]],""),IF($L$18="Signal Generation",IF('Job_Topic-Skill_Matrix'!R58=1,Table23[[#Headers],[Topic 14]],""),NA())))))</f>
        <v/>
      </c>
      <c r="AE18" s="96" t="str">
        <f>(_xlfn.SINGLE(IF($L$18="Automation",IF(Table23[[#This Row],[Topic 15]]=1,Table23[[#Headers],[Topic 15]],""),IF($L$18="Test Planning",IF('Job_Topic-Skill_Matrix'!S35=1,Table23[[#Headers],[Topic 15]],""),IF($L$18="Signal Generation",IF('Job_Topic-Skill_Matrix'!S58=1,Table23[[#Headers],[Topic 15]],""),NA())))))</f>
        <v/>
      </c>
      <c r="AF18" s="96" t="str">
        <f>(_xlfn.SINGLE(IF($L$18="Automation",IF(Table23[[#This Row],[Topic 16]]=1,Table23[[#Headers],[Topic 16]],""),IF($L$18="Test Planning",IF('Job_Topic-Skill_Matrix'!T35=1,Table23[[#Headers],[Topic 16]],""),IF($L$18="Signal Generation",IF('Job_Topic-Skill_Matrix'!T58=1,Table23[[#Headers],[Topic 16]],""),NA())))))</f>
        <v/>
      </c>
      <c r="AG18" s="96" t="str">
        <f>(_xlfn.SINGLE(IF($L$18="Automation",IF(Table23[[#This Row],[Topic 17]]=1,Table23[[#Headers],[Topic 17]],""),IF($L$18="Test Planning",IF('Job_Topic-Skill_Matrix'!U35=1,Table23[[#Headers],[Topic 17]],""),IF($L$18="Signal Generation",IF('Job_Topic-Skill_Matrix'!U58=1,Table23[[#Headers],[Topic 17]],""),NA())))))</f>
        <v>Topic 17</v>
      </c>
      <c r="AH18" s="96" t="str">
        <f>(_xlfn.SINGLE(IF($L$18="Automation",IF(Table23[[#This Row],[Topic 18]]=1,Table23[[#Headers],[Topic 18]],""),IF($L$18="Test Planning",IF('Job_Topic-Skill_Matrix'!V35=1,Table23[[#Headers],[Topic 18]],""),IF($L$18="Signal Generation",IF('Job_Topic-Skill_Matrix'!V58=1,Table23[[#Headers],[Topic 18]],""),NA())))))</f>
        <v/>
      </c>
      <c r="AI18" s="103" t="str">
        <f>(_xlfn.SINGLE(IF($L$18="Automation",IF(Table23[[#This Row],[Topic 19]]=1,Table23[[#Headers],[Topic 19]],""),IF($L$18="Test Planning",IF('Job_Topic-Skill_Matrix'!W35=1,Table23[[#Headers],[Topic 19]],""),IF($L$18="Signal Generation",IF('Job_Topic-Skill_Matrix'!W58=1,Table23[[#Headers],[Topic 19]],""),NA())))))</f>
        <v/>
      </c>
      <c r="AN18" s="107" t="s">
        <v>119</v>
      </c>
      <c r="AO18" s="107"/>
      <c r="AP18" s="106"/>
      <c r="AQ18" s="43"/>
      <c r="AR18" s="107" t="s">
        <v>120</v>
      </c>
      <c r="AS18" s="107"/>
      <c r="AT18" s="108"/>
      <c r="AU18" s="107"/>
      <c r="AV18" s="107" t="s">
        <v>121</v>
      </c>
      <c r="AW18" s="107"/>
      <c r="AX18" s="107"/>
      <c r="AY18" s="107"/>
      <c r="AZ18" s="107"/>
      <c r="BA18" s="3"/>
      <c r="BB18" s="43" t="s">
        <v>122</v>
      </c>
    </row>
    <row r="19" spans="2:54" ht="15" customHeight="1" x14ac:dyDescent="0.35">
      <c r="B19" t="s">
        <v>115</v>
      </c>
      <c r="C19" t="s">
        <v>131</v>
      </c>
      <c r="D19" t="s">
        <v>116</v>
      </c>
      <c r="E19" t="s">
        <v>126</v>
      </c>
      <c r="G19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>Artificial Intelligence</v>
      </c>
      <c r="H19" s="18" t="str">
        <v>Artificial Intelligence</v>
      </c>
      <c r="I19" s="66" t="b">
        <v>1</v>
      </c>
      <c r="K19" t="s">
        <v>127</v>
      </c>
      <c r="L19" s="5" t="str">
        <f>IF(I19=TRUE,VLOOKUP(H19,Table23[Skill / Domain Knowledge],1,FALSE),"")</f>
        <v>Artificial Intelligence</v>
      </c>
      <c r="P19" s="93" t="str">
        <f>(_xlfn.SINGLE(IF($L$19="Artificial Intelligence",IF(Table23[[#This Row],[Topic 0]]=1,Table23[[#Headers],[Topic 0]],""),IF($L$19="Quality Management",IF('Job_Topic-Skill_Matrix'!D36=1,Table23[[#Headers],[Topic 0]],""),NA()))))</f>
        <v/>
      </c>
      <c r="Q19" s="96" t="str">
        <f>(_xlfn.SINGLE(IF($L$19="Artificial Intelligence",IF(Table23[[#This Row],[Topic 1]]=1,Table23[[#Headers],[Topic 1]],""),IF($L$19="Quality Management",IF('Job_Topic-Skill_Matrix'!E36=1,Table23[[#Headers],[Topic 1]],""),NA()))))</f>
        <v/>
      </c>
      <c r="R19" s="96" t="str">
        <f>(_xlfn.SINGLE(IF($L$19="Artificial Intelligence",IF(Table23[[#This Row],[Topic 2]]=1,Table23[[#Headers],[Topic 2]],""),IF($L$19="Quality Management",IF('Job_Topic-Skill_Matrix'!F36=1,Table23[[#Headers],[Topic 2]],""),NA()))))</f>
        <v>Topic 2</v>
      </c>
      <c r="S19" s="96" t="str">
        <f>(_xlfn.SINGLE(IF($L$19="Artificial Intelligence",IF(Table23[[#This Row],[Topic 3]]=1,Table23[[#Headers],[Topic 3]],""),IF($L$19="Quality Management",IF('Job_Topic-Skill_Matrix'!G36=1,Table23[[#Headers],[Topic 3]],""),NA()))))</f>
        <v>Topic 3</v>
      </c>
      <c r="T19" s="96" t="str">
        <f>(_xlfn.SINGLE(IF($L$19="Artificial Intelligence",IF(Table23[[#This Row],[Topic 4]]=1,Table23[[#Headers],[Topic 4]],""),IF($L$19="Quality Management",IF('Job_Topic-Skill_Matrix'!H36=1,Table23[[#Headers],[Topic 4]],""),NA()))))</f>
        <v>Topic 4</v>
      </c>
      <c r="U19" s="96" t="str">
        <f>(_xlfn.SINGLE(IF($L$19="Artificial Intelligence",IF(Table23[[#This Row],[Topic 5]]=1,Table23[[#Headers],[Topic 5]],""),IF($L$19="Quality Management",IF('Job_Topic-Skill_Matrix'!I36=1,Table23[[#Headers],[Topic 5]],""),NA()))))</f>
        <v>Topic 5</v>
      </c>
      <c r="V19" s="96" t="str">
        <f>(_xlfn.SINGLE(IF($L$19="Artificial Intelligence",IF(Table23[[#This Row],[Topic 6]]=1,Table23[[#Headers],[Topic 6]],""),IF($L$19="Quality Management",IF('Job_Topic-Skill_Matrix'!J36=1,Table23[[#Headers],[Topic 6]],""),NA()))))</f>
        <v>Topic 6</v>
      </c>
      <c r="W19" s="96" t="str">
        <f>(_xlfn.SINGLE(IF($L$19="Artificial Intelligence",IF(Table23[[#This Row],[Topic 7]]=1,Table23[[#Headers],[Topic 7]],""),IF($L$19="Quality Management",IF('Job_Topic-Skill_Matrix'!K36=1,Table23[[#Headers],[Topic 7]],""),NA()))))</f>
        <v>Topic 7</v>
      </c>
      <c r="X19" s="96" t="str">
        <f>(_xlfn.SINGLE(IF($L$19="Artificial Intelligence",IF(Table23[[#This Row],[Topic 8]]=1,Table23[[#Headers],[Topic 8]],""),IF($L$19="Quality Management",IF('Job_Topic-Skill_Matrix'!L36=1,Table23[[#Headers],[Topic 8]],""),NA()))))</f>
        <v>Topic 8</v>
      </c>
      <c r="Y19" s="96" t="str">
        <f>(_xlfn.SINGLE(IF($L$19="Artificial Intelligence",IF(Table23[[#This Row],[Topic 9]]=1,Table23[[#Headers],[Topic 9]],""),IF($L$19="Quality Management",IF('Job_Topic-Skill_Matrix'!M36=1,Table23[[#Headers],[Topic 9]],""),NA()))))</f>
        <v>Topic 9</v>
      </c>
      <c r="Z19" s="96" t="str">
        <f>(_xlfn.SINGLE(IF($L$19="Artificial Intelligence",IF(Table23[[#This Row],[Topic 10]]=1,Table23[[#Headers],[Topic 10]],""),IF($L$19="Quality Management",IF('Job_Topic-Skill_Matrix'!N36=1,Table23[[#Headers],[Topic 10]],""),NA()))))</f>
        <v>Topic 10</v>
      </c>
      <c r="AA19" s="96" t="str">
        <f>(_xlfn.SINGLE(IF($L$19="Artificial Intelligence",IF(Table23[[#This Row],[Topic 11]]=1,Table23[[#Headers],[Topic 11]],""),IF($L$19="Quality Management",IF('Job_Topic-Skill_Matrix'!O36=1,Table23[[#Headers],[Topic 11]],""),NA()))))</f>
        <v/>
      </c>
      <c r="AB19" s="96" t="str">
        <f>(_xlfn.SINGLE(IF($L$19="Artificial Intelligence",IF(Table23[[#This Row],[Topic 12]]=1,Table23[[#Headers],[Topic 12]],""),IF($L$19="Quality Management",IF('Job_Topic-Skill_Matrix'!P36=1,Table23[[#Headers],[Topic 12]],""),NA()))))</f>
        <v/>
      </c>
      <c r="AC19" s="96" t="str">
        <f>(_xlfn.SINGLE(IF($L$19="Artificial Intelligence",IF(Table23[[#This Row],[Topic 13]]=1,Table23[[#Headers],[Topic 13]],""),IF($L$19="Quality Management",IF('Job_Topic-Skill_Matrix'!Q36=1,Table23[[#Headers],[Topic 13]],""),NA()))))</f>
        <v/>
      </c>
      <c r="AD19" s="96" t="str">
        <f>(_xlfn.SINGLE(IF($L$19="Artificial Intelligence",IF(Table23[[#This Row],[Topic 14]]=1,Table23[[#Headers],[Topic 14]],""),IF($L$19="Quality Management",IF('Job_Topic-Skill_Matrix'!R36=1,Table23[[#Headers],[Topic 14]],""),NA()))))</f>
        <v/>
      </c>
      <c r="AE19" s="96" t="str">
        <f>(_xlfn.SINGLE(IF($L$19="Artificial Intelligence",IF(Table23[[#This Row],[Topic 15]]=1,Table23[[#Headers],[Topic 15]],""),IF($L$19="Quality Management",IF('Job_Topic-Skill_Matrix'!S36=1,Table23[[#Headers],[Topic 15]],""),NA()))))</f>
        <v/>
      </c>
      <c r="AF19" s="96" t="str">
        <f>(_xlfn.SINGLE(IF($L$19="Artificial Intelligence",IF(Table23[[#This Row],[Topic 16]]=1,Table23[[#Headers],[Topic 16]],""),IF($L$19="Quality Management",IF('Job_Topic-Skill_Matrix'!T36=1,Table23[[#Headers],[Topic 16]],""),NA()))))</f>
        <v>Topic 16</v>
      </c>
      <c r="AG19" s="96" t="str">
        <f>(_xlfn.SINGLE(IF($L$19="Artificial Intelligence",IF(Table23[[#This Row],[Topic 17]]=1,Table23[[#Headers],[Topic 17]],""),IF($L$19="Quality Management",IF('Job_Topic-Skill_Matrix'!U36=1,Table23[[#Headers],[Topic 17]],""),NA()))))</f>
        <v>Topic 17</v>
      </c>
      <c r="AH19" s="96" t="str">
        <f>(_xlfn.SINGLE(IF($L$19="Artificial Intelligence",IF(Table23[[#This Row],[Topic 18]]=1,Table23[[#Headers],[Topic 18]],""),IF($L$19="Quality Management",IF('Job_Topic-Skill_Matrix'!V36=1,Table23[[#Headers],[Topic 18]],""),NA()))))</f>
        <v/>
      </c>
      <c r="AI19" s="103" t="str">
        <f>(_xlfn.SINGLE(IF($L$19="Artificial Intelligence",IF(Table23[[#This Row],[Topic 19]]=1,Table23[[#Headers],[Topic 19]],""),IF($L$19="Quality Management",IF('Job_Topic-Skill_Matrix'!W36=1,Table23[[#Headers],[Topic 19]],""),NA()))))</f>
        <v/>
      </c>
      <c r="AN19" s="107" t="s">
        <v>128</v>
      </c>
      <c r="AO19" s="107"/>
      <c r="AP19" s="106"/>
      <c r="AQ19" s="43"/>
      <c r="AR19" s="43"/>
      <c r="AS19" s="43"/>
      <c r="AT19" s="44"/>
      <c r="AU19" s="43"/>
      <c r="AV19" s="44"/>
      <c r="AW19" s="44"/>
      <c r="AX19" s="44"/>
      <c r="AY19" s="44"/>
      <c r="AZ19" s="44"/>
      <c r="BA19" s="3"/>
      <c r="BB19" s="43" t="s">
        <v>129</v>
      </c>
    </row>
    <row r="20" spans="2:54" ht="15" customHeight="1" x14ac:dyDescent="0.35">
      <c r="B20" t="s">
        <v>123</v>
      </c>
      <c r="C20" t="s">
        <v>138</v>
      </c>
      <c r="D20" t="s">
        <v>125</v>
      </c>
      <c r="E20" t="s">
        <v>133</v>
      </c>
      <c r="G20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>Data Management</v>
      </c>
      <c r="H20" s="18" t="str">
        <v>Data Management</v>
      </c>
      <c r="I20" s="66" t="b">
        <v>1</v>
      </c>
      <c r="K20" t="s">
        <v>134</v>
      </c>
      <c r="L20" s="5" t="str">
        <f>IF(I20=TRUE,VLOOKUP(H20,Table23[Skill / Domain Knowledge],1,FALSE),"")</f>
        <v>Data Management</v>
      </c>
      <c r="P20" s="93" t="str">
        <f>(_xlfn.SINGLE(IF($L$20="Data Management",IF(Table23[[#This Row],[Topic 0]]=1,Table23[[#Headers],[Topic 0]],""),IF($L$20="Computer-Aided Design",IF('Job_Topic-Skill_Matrix'!D37=1,Table23[[#Headers],[Topic 0]],""),NA()))))</f>
        <v/>
      </c>
      <c r="Q20" s="96" t="str">
        <f>(IF($L$20="Data Management",IF(Table23[[#This Row],[Topic 1]]=1,Table23[[#Headers],[Topic 1]],""),IF($L$20="Computer-Aided Design",IF('Job_Topic-Skill_Matrix'!E37=1,Table23[[#Headers],[Topic 1]],""),IF($L$20="Cyber",IF(Table23[[#This Row],[Sensor]]=1,Table23[Topic 0],""),IF($L$20="Sensor",IF(Table23[[#This Row],['#]]=1,Table23[Topic 0],""),NA())))))</f>
        <v/>
      </c>
      <c r="R20" s="96" t="str">
        <f>(IF($L$20="Data Management",IF(Table23[[#This Row],[Topic 2]]=1,Table23[[#Headers],[Topic 2]],""),IF($L$20="Computer-Aided Design",IF('Job_Topic-Skill_Matrix'!F37=1,Table23[[#Headers],[Topic 2]],""),IF($L$20="Cyber",IF(Table23[[#This Row],['#]]=1,Table23[Topic 1],""),IF($L$20="Sensor",IF(Table23[[#This Row],[Skill / Domain Knowledge]]=1,Table23[Topic 1],""),NA())))))</f>
        <v/>
      </c>
      <c r="S20" s="96" t="str">
        <f>(IF($L$20="Data Management",IF(Table23[[#This Row],[Topic 3]]=1,Table23[[#Headers],[Topic 3]],""),IF($L$20="Computer-Aided Design",IF('Job_Topic-Skill_Matrix'!G37=1,Table23[[#Headers],[Topic 3]],""),IF($L$20="Cyber",IF(Table23[[#This Row],[Skill / Domain Knowledge]]=1,Table23[Topic 2],""),IF($L$20="Sensor",IF(Table23[[#This Row],[Topic 0]]=1,Table23[Topic 2],""),NA())))))</f>
        <v/>
      </c>
      <c r="T20" s="96" t="str">
        <f>(IF($L$20="Data Management",IF(Table23[[#This Row],[Topic 4]]=1,Table23[[#Headers],[Topic 4]],""),IF($L$20="Computer-Aided Design",IF('Job_Topic-Skill_Matrix'!H37=1,Table23[[#Headers],[Topic 4]],""),IF($L$20="Cyber",IF(Table23[[#This Row],[Topic 0]]=1,Table23[Topic 3],""),IF($L$20="Sensor",IF(Table23[[#This Row],[Topic 1]]=1,Table23[Topic 3],""),NA())))))</f>
        <v>Topic 4</v>
      </c>
      <c r="U20" s="96" t="str">
        <f>(IF($L$20="Data Management",IF(Table23[[#This Row],[Topic 5]]=1,Table23[[#Headers],[Topic 5]],""),IF($L$20="Computer-Aided Design",IF('Job_Topic-Skill_Matrix'!I37=1,Table23[[#Headers],[Topic 5]],""),IF($L$20="Cyber",IF(Table23[[#This Row],[Topic 1]]=1,Table23[Topic 4],""),IF($L$20="Sensor",IF(Table23[[#This Row],[Topic 2]]=1,Table23[Topic 4],""),NA())))))</f>
        <v/>
      </c>
      <c r="V20" s="96" t="str">
        <f>(IF($L$20="Data Management",IF(Table23[[#This Row],[Topic 6]]=1,Table23[[#Headers],[Topic 6]],""),IF($L$20="Computer-Aided Design",IF('Job_Topic-Skill_Matrix'!J37=1,Table23[[#Headers],[Topic 6]],""),IF($L$20="Cyber",IF(Table23[[#This Row],[Topic 2]]=1,Table23[Topic 5],""),IF($L$20="Sensor",IF(Table23[[#This Row],[Topic 3]]=1,Table23[Topic 5],""),NA())))))</f>
        <v/>
      </c>
      <c r="W20" s="96" t="str">
        <f>(IF($L$20="Data Management",IF(Table23[[#This Row],[Topic 7]]=1,Table23[[#Headers],[Topic 7]],""),IF($L$20="Computer-Aided Design",IF('Job_Topic-Skill_Matrix'!K37=1,Table23[[#Headers],[Topic 7]],""),IF($L$20="Cyber",IF(Table23[[#This Row],[Topic 3]]=1,Table23[Topic 6],""),IF($L$20="Sensor",IF(Table23[[#This Row],[Topic 4]]=1,Table23[Topic 6],""),NA())))))</f>
        <v/>
      </c>
      <c r="X20" s="96" t="str">
        <f>(IF($L$20="Data Management",IF(Table23[[#This Row],[Topic 8]]=1,Table23[[#Headers],[Topic 8]],""),IF($L$20="Computer-Aided Design",IF('Job_Topic-Skill_Matrix'!L37=1,Table23[[#Headers],[Topic 8]],""),IF($L$20="Cyber",IF(Table23[[#This Row],[Topic 4]]=1,Table23[Topic 7],""),IF($L$20="Sensor",IF(Table23[[#This Row],[Topic 5]]=1,Table23[Topic 7],""),NA())))))</f>
        <v/>
      </c>
      <c r="Y20" s="96" t="str">
        <f>(IF($L$20="Data Management",IF(Table23[[#This Row],[Topic 9]]=1,Table23[[#Headers],[Topic 9]],""),IF($L$20="Computer-Aided Design",IF('Job_Topic-Skill_Matrix'!M37=1,Table23[[#Headers],[Topic 9]],""),IF($L$20="Cyber",IF(Table23[[#This Row],[Topic 5]]=1,Table23[Topic 8],""),IF($L$20="Sensor",IF(Table23[[#This Row],[Topic 6]]=1,Table23[Topic 8],""),NA())))))</f>
        <v/>
      </c>
      <c r="Z20" s="96" t="str">
        <f>(IF($L$20="Data Management",IF(Table23[[#This Row],[Topic 10]]=1,Table23[[#Headers],[Topic 10]],""),IF($L$20="Computer-Aided Design",IF('Job_Topic-Skill_Matrix'!N37=1,Table23[[#Headers],[Topic 10]],""),IF($L$20="Cyber",IF(Table23[[#This Row],[Topic 6]]=1,Table23[Topic 9],""),IF($L$20="Sensor",IF(Table23[[#This Row],[Topic 7]]=1,Table23[Topic 9],""),NA())))))</f>
        <v/>
      </c>
      <c r="AA20" s="96" t="str">
        <f>(IF($L$20="Data Management",IF(Table23[[#This Row],[Topic 11]]=1,Table23[[#Headers],[Topic 11]],""),IF($L$20="Computer-Aided Design",IF('Job_Topic-Skill_Matrix'!O37=1,Table23[[#Headers],[Topic 11]],""),IF($L$20="Cyber",IF(Table23[[#This Row],[Topic 7]]=1,Table23[Topic 10],""),IF($L$20="Sensor",IF(Table23[[#This Row],[Topic 8]]=1,Table23[Topic 10],""),NA())))))</f>
        <v/>
      </c>
      <c r="AB20" s="96" t="str">
        <f>(IF($L$20="Data Management",IF(Table23[[#This Row],[Topic 12]]=1,Table23[[#Headers],[Topic 12]],""),IF($L$20="Computer-Aided Design",IF('Job_Topic-Skill_Matrix'!P37=1,Table23[[#Headers],[Topic 12]],""),IF($L$20="Cyber",IF(Table23[[#This Row],[Topic 8]]=1,Table23[Topic 11],""),IF($L$20="Sensor",IF(Table23[[#This Row],[Topic 9]]=1,Table23[Topic 11],""),NA())))))</f>
        <v/>
      </c>
      <c r="AC20" s="96" t="str">
        <f>(IF($L$20="Data Management",IF(Table23[[#This Row],[Topic 13]]=1,Table23[[#Headers],[Topic 13]],""),IF($L$20="Computer-Aided Design",IF('Job_Topic-Skill_Matrix'!Q37=1,Table23[[#Headers],[Topic 13]],""),IF($L$20="Cyber",IF(Table23[[#This Row],[Topic 9]]=1,Table23[Topic 12],""),IF($L$20="Sensor",IF(Table23[[#This Row],[Topic 10]]=1,Table23[Topic 12],""),NA())))))</f>
        <v/>
      </c>
      <c r="AD20" s="96" t="str">
        <f>(IF($L$20="Data Management",IF(Table23[[#This Row],[Topic 14]]=1,Table23[[#Headers],[Topic 14]],""),IF($L$20="Computer-Aided Design",IF('Job_Topic-Skill_Matrix'!R37=1,Table23[[#Headers],[Topic 14]],""),IF($L$20="Cyber",IF(Table23[[#This Row],[Topic 10]]=1,Table23[Topic 13],""),IF($L$20="Sensor",IF(Table23[[#This Row],[Topic 11]]=1,Table23[Topic 13],""),NA())))))</f>
        <v/>
      </c>
      <c r="AE20" s="96" t="str">
        <f>(IF($L$20="Data Management",IF(Table23[[#This Row],[Topic 15]]=1,Table23[[#Headers],[Topic 15]],""),IF($L$20="Computer-Aided Design",IF('Job_Topic-Skill_Matrix'!S37=1,Table23[[#Headers],[Topic 15]],""),IF($L$20="Cyber",IF(Table23[[#This Row],[Topic 11]]=1,Table23[Topic 14],""),IF($L$20="Sensor",IF(Table23[[#This Row],[Topic 12]]=1,Table23[Topic 14],""),NA())))))</f>
        <v/>
      </c>
      <c r="AF20" s="96" t="str">
        <f>(IF($L$20="Data Management",IF(Table23[[#This Row],[Topic 16]]=1,Table23[[#Headers],[Topic 16]],""),IF($L$20="Computer-Aided Design",IF('Job_Topic-Skill_Matrix'!T37=1,Table23[[#Headers],[Topic 16]],""),IF($L$20="Cyber",IF(Table23[[#This Row],[Topic 12]]=1,Table23[Topic 15],""),IF($L$20="Sensor",IF(Table23[[#This Row],[Topic 13]]=1,Table23[Topic 15],""),NA())))))</f>
        <v/>
      </c>
      <c r="AG20" s="96" t="str">
        <f>(IF($L$20="Data Management",IF(Table23[[#This Row],[Topic 17]]=1,Table23[[#Headers],[Topic 17]],""),IF($L$20="Computer-Aided Design",IF('Job_Topic-Skill_Matrix'!U37=1,Table23[[#Headers],[Topic 17]],""),IF($L$20="Cyber",IF(Table23[[#This Row],[Topic 13]]=1,Table23[Topic 16],""),IF($L$20="Sensor",IF(Table23[[#This Row],[Topic 14]]=1,Table23[Topic 16],""),NA())))))</f>
        <v/>
      </c>
      <c r="AH20" s="96" t="str">
        <f>(IF($L$20="Data Management",IF(Table23[[#This Row],[Topic 18]]=1,Table23[[#Headers],[Topic 18]],""),IF($L$20="Computer-Aided Design",IF('Job_Topic-Skill_Matrix'!V37=1,Table23[[#Headers],[Topic 18]],""),IF($L$20="Cyber",IF(Table23[[#This Row],[Topic 14]]=1,Table23[Topic 17],""),IF($L$20="Sensor",IF(Table23[[#This Row],[Topic 15]]=1,Table23[Topic 17],""),NA())))))</f>
        <v/>
      </c>
      <c r="AI20" s="103" t="str">
        <f>(IF($L$20="Data Management",IF(Table23[[#This Row],[Topic 19]]=1,Table23[[#Headers],[Topic 19]],""),IF($L$20="Computer-Aided Design",IF('Job_Topic-Skill_Matrix'!W37=1,Table23[[#Headers],[Topic 19]],""),IF($L$20="Cyber",IF(Table23[[#This Row],[Topic 15]]=1,Table23[Topic 18],""),IF($L$20="Sensor",IF(Table23[[#This Row],[Topic 16]]=1,Table23[Topic 18],""),NA())))))</f>
        <v>Topic 19</v>
      </c>
      <c r="AN20" s="107" t="s">
        <v>135</v>
      </c>
      <c r="AO20" s="108"/>
      <c r="AP20" s="108"/>
      <c r="AQ20" s="44"/>
      <c r="AR20" s="44"/>
      <c r="AS20" s="43"/>
      <c r="AT20" s="43"/>
      <c r="AU20" s="43"/>
      <c r="AV20" s="44"/>
      <c r="AW20" s="44"/>
      <c r="AX20" s="44"/>
      <c r="AY20" s="44"/>
      <c r="AZ20" s="44"/>
      <c r="BA20" s="3"/>
      <c r="BB20" s="43" t="s">
        <v>136</v>
      </c>
    </row>
    <row r="21" spans="2:54" ht="15" customHeight="1" x14ac:dyDescent="0.35">
      <c r="B21" t="s">
        <v>130</v>
      </c>
      <c r="C21" t="s">
        <v>143</v>
      </c>
      <c r="D21" t="s">
        <v>132</v>
      </c>
      <c r="E21" t="s">
        <v>145</v>
      </c>
      <c r="G21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>Operations Research</v>
      </c>
      <c r="H21" s="18" t="str">
        <v>Operations Research</v>
      </c>
      <c r="I21" s="66" t="b">
        <v>1</v>
      </c>
      <c r="K21" t="s">
        <v>140</v>
      </c>
      <c r="L21" s="5" t="str">
        <f>IF(I21=TRUE,VLOOKUP(H21,Table23[Skill / Domain Knowledge],1,FALSE),"")</f>
        <v>Operations Research</v>
      </c>
      <c r="P21" s="93" t="str">
        <f>(_xlfn.SINGLE(IF($L$21="Operations Research",IF(Table23[[#This Row],[Topic 0]]=1,Table23[[#Headers],[Topic 0]],""),NA())))</f>
        <v>Topic 0</v>
      </c>
      <c r="Q21" s="96" t="str">
        <f>(_xlfn.SINGLE(IF($L$21="Operations Research",IF(Table23[[#This Row],[Topic 1]]=1,Table23[[#Headers],[Topic 1]],""),NA())))</f>
        <v/>
      </c>
      <c r="R21" s="96" t="str">
        <f>(_xlfn.SINGLE(IF($L$21="Operations Research",IF(Table23[[#This Row],[Topic 2]]=1,Table23[[#Headers],[Topic 2]],""),NA())))</f>
        <v>Topic 2</v>
      </c>
      <c r="S21" s="96" t="str">
        <f>(_xlfn.SINGLE(IF($L$21="Operations Research",IF(Table23[[#This Row],[Topic 3]]=1,Table23[[#Headers],[Topic 3]],""),NA())))</f>
        <v>Topic 3</v>
      </c>
      <c r="T21" s="96" t="str">
        <f>(_xlfn.SINGLE(IF($L$21="Operations Research",IF(Table23[[#This Row],[Topic 4]]=1,Table23[[#Headers],[Topic 4]],""),NA())))</f>
        <v/>
      </c>
      <c r="U21" s="96" t="str">
        <f>(_xlfn.SINGLE(IF($L$21="Operations Research",IF(Table23[[#This Row],[Topic 5]]=1,Table23[[#Headers],[Topic 5]],""),NA())))</f>
        <v/>
      </c>
      <c r="V21" s="96" t="str">
        <f>(_xlfn.SINGLE(IF($L$21="Operations Research",IF(Table23[[#This Row],[Topic 6]]=1,Table23[[#Headers],[Topic 6]],""),NA())))</f>
        <v/>
      </c>
      <c r="W21" s="96" t="str">
        <f>(_xlfn.SINGLE(IF($L$21="Operations Research",IF(Table23[[#This Row],[Topic 7]]=1,Table23[[#Headers],[Topic 7]],""),NA())))</f>
        <v>Topic 7</v>
      </c>
      <c r="X21" s="96" t="str">
        <f>(_xlfn.SINGLE(IF($L$21="Operations Research",IF(Table23[[#This Row],[Topic 8]]=1,Table23[[#Headers],[Topic 8]],""),NA())))</f>
        <v/>
      </c>
      <c r="Y21" s="96" t="str">
        <f>(_xlfn.SINGLE(IF($L$21="Operations Research",IF(Table23[[#This Row],[Topic 9]]=1,Table23[[#Headers],[Topic 9]],""),NA())))</f>
        <v/>
      </c>
      <c r="Z21" s="96" t="str">
        <f>(_xlfn.SINGLE(IF($L$21="Operations Research",IF(Table23[[#This Row],[Topic 10]]=1,Table23[[#Headers],[Topic 10]],""),NA())))</f>
        <v/>
      </c>
      <c r="AA21" s="96" t="str">
        <f>(_xlfn.SINGLE(IF($L$21="Operations Research",IF(Table23[[#This Row],[Topic 11]]=1,Table23[[#Headers],[Topic 11]],""),NA())))</f>
        <v>Topic 11</v>
      </c>
      <c r="AB21" s="96" t="str">
        <f>(_xlfn.SINGLE(IF($L$21="Operations Research",IF(Table23[[#This Row],[Topic 12]]=1,Table23[[#Headers],[Topic 12]],""),NA())))</f>
        <v/>
      </c>
      <c r="AC21" s="96" t="str">
        <f>(_xlfn.SINGLE(IF($L$21="Operations Research",IF(Table23[[#This Row],[Topic 13]]=1,Table23[[#Headers],[Topic 13]],""),NA())))</f>
        <v>Topic 13</v>
      </c>
      <c r="AD21" s="96" t="str">
        <f>(_xlfn.SINGLE(IF($L$21="Operations Research",IF(Table23[[#This Row],[Topic 14]]=1,Table23[[#Headers],[Topic 14]],""),NA())))</f>
        <v>Topic 14</v>
      </c>
      <c r="AE21" s="96" t="str">
        <f>(_xlfn.SINGLE(IF($L$21="Operations Research",IF(Table23[[#This Row],[Topic 15]]=1,Table23[[#Headers],[Topic 15]],""),NA())))</f>
        <v>Topic 15</v>
      </c>
      <c r="AF21" s="96" t="str">
        <f>(_xlfn.SINGLE(IF($L$21="Operations Research",IF(Table23[[#This Row],[Topic 16]]=1,Table23[[#Headers],[Topic 16]],""),NA())))</f>
        <v/>
      </c>
      <c r="AG21" s="96" t="str">
        <f>(_xlfn.SINGLE(IF($L$21="Operations Research",IF(Table23[[#This Row],[Topic 17]]=1,Table23[[#Headers],[Topic 17]],""),NA())))</f>
        <v/>
      </c>
      <c r="AH21" s="96" t="str">
        <f>(_xlfn.SINGLE(IF($L$21="Operations Research",IF(Table23[[#This Row],[Topic 18]]=1,Table23[[#Headers],[Topic 18]],""),NA())))</f>
        <v/>
      </c>
      <c r="AI21" s="103" t="str">
        <f>(_xlfn.SINGLE(IF($L$21="Operations Research",IF(Table23[[#This Row],[Topic 19]]=1,Table23[[#Headers],[Topic 19]],""),NA())))</f>
        <v/>
      </c>
      <c r="AN21" s="107" t="s">
        <v>141</v>
      </c>
      <c r="AO21" s="108"/>
      <c r="AP21" s="108"/>
      <c r="AQ21" s="44"/>
      <c r="AR21" s="44"/>
      <c r="AS21" s="43"/>
      <c r="AT21" s="43"/>
      <c r="AU21" s="43"/>
      <c r="AV21" s="43"/>
      <c r="AW21" s="43"/>
      <c r="AX21" s="43"/>
      <c r="AY21" s="43"/>
      <c r="AZ21" s="43"/>
      <c r="BA21" s="3"/>
      <c r="BB21" s="43" t="s">
        <v>142</v>
      </c>
    </row>
    <row r="22" spans="2:54" ht="15" customHeight="1" x14ac:dyDescent="0.35">
      <c r="B22" t="s">
        <v>137</v>
      </c>
      <c r="C22" t="s">
        <v>68</v>
      </c>
      <c r="D22" t="s">
        <v>139</v>
      </c>
      <c r="E22" t="s">
        <v>149</v>
      </c>
      <c r="G22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>Deep Learning</v>
      </c>
      <c r="H22" s="18" t="str">
        <v>Deep Learning</v>
      </c>
      <c r="I22" s="66" t="b">
        <v>1</v>
      </c>
      <c r="K22" t="s">
        <v>146</v>
      </c>
      <c r="L22" s="5" t="str">
        <f>IF(I22=TRUE,VLOOKUP(H22,Table23[Skill / Domain Knowledge],1,FALSE),"")</f>
        <v>Deep Learning</v>
      </c>
      <c r="P22" s="93" t="str">
        <f>(_xlfn.SINGLE(IF($L$22="Deep Learning",IF(Table23[[#This Row],[Topic 0]]=1,Table23[[#Headers],[Topic 0]],""),NA())))</f>
        <v/>
      </c>
      <c r="Q22" s="96" t="str">
        <f>(_xlfn.SINGLE(IF($L$22="Deep Learning",IF(Table23[[#This Row],[Topic 1]]=1,Table23[[#Headers],[Topic 1]],""),NA())))</f>
        <v/>
      </c>
      <c r="R22" s="96" t="str">
        <f>(_xlfn.SINGLE(IF($L$22="Deep Learning",IF(Table23[[#This Row],[Topic 2]]=1,Table23[[#Headers],[Topic 2]],""),NA())))</f>
        <v/>
      </c>
      <c r="S22" s="96" t="str">
        <f>(_xlfn.SINGLE(IF($L$22="Deep Learning",IF(Table23[[#This Row],[Topic 3]]=1,Table23[[#Headers],[Topic 3]],""),NA())))</f>
        <v>Topic 3</v>
      </c>
      <c r="T22" s="96" t="str">
        <f>(_xlfn.SINGLE(IF($L$22="Deep Learning",IF(Table23[[#This Row],[Topic 4]]=1,Table23[[#Headers],[Topic 4]],""),NA())))</f>
        <v>Topic 4</v>
      </c>
      <c r="U22" s="96" t="str">
        <f>(_xlfn.SINGLE(IF($L$22="Deep Learning",IF(Table23[[#This Row],[Topic 5]]=1,Table23[[#Headers],[Topic 5]],""),NA())))</f>
        <v/>
      </c>
      <c r="V22" s="96" t="str">
        <f>(_xlfn.SINGLE(IF($L$22="Deep Learning",IF(Table23[[#This Row],[Topic 6]]=1,Table23[[#Headers],[Topic 6]],""),NA())))</f>
        <v/>
      </c>
      <c r="W22" s="96" t="str">
        <f>(_xlfn.SINGLE(IF($L$22="Deep Learning",IF(Table23[[#This Row],[Topic 7]]=1,Table23[[#Headers],[Topic 7]],""),NA())))</f>
        <v/>
      </c>
      <c r="X22" s="96" t="str">
        <f>(_xlfn.SINGLE(IF($L$22="Deep Learning",IF(Table23[[#This Row],[Topic 8]]=1,Table23[[#Headers],[Topic 8]],""),NA())))</f>
        <v/>
      </c>
      <c r="Y22" s="96" t="str">
        <f>(_xlfn.SINGLE(IF($L$22="Deep Learning",IF(Table23[[#This Row],[Topic 9]]=1,Table23[[#Headers],[Topic 9]],""),NA())))</f>
        <v>Topic 9</v>
      </c>
      <c r="Z22" s="96" t="str">
        <f>(_xlfn.SINGLE(IF($L$22="Deep Learning",IF(Table23[[#This Row],[Topic 10]]=1,Table23[[#Headers],[Topic 10]],""),NA())))</f>
        <v>Topic 10</v>
      </c>
      <c r="AA22" s="96" t="str">
        <f>(_xlfn.SINGLE(IF($L$22="Deep Learning",IF(Table23[[#This Row],[Topic 11]]=1,Table23[[#Headers],[Topic 11]],""),NA())))</f>
        <v/>
      </c>
      <c r="AB22" s="96" t="str">
        <f>(_xlfn.SINGLE(IF($L$22="Deep Learning",IF(Table23[[#This Row],[Topic 12]]=1,Table23[[#Headers],[Topic 12]],""),NA())))</f>
        <v/>
      </c>
      <c r="AC22" s="96" t="str">
        <f>(_xlfn.SINGLE(IF($L$22="Deep Learning",IF(Table23[[#This Row],[Topic 13]]=1,Table23[[#Headers],[Topic 13]],""),NA())))</f>
        <v/>
      </c>
      <c r="AD22" s="96" t="str">
        <f>(_xlfn.SINGLE(IF($L$22="Deep Learning",IF(Table23[[#This Row],[Topic 14]]=1,Table23[[#Headers],[Topic 14]],""),NA())))</f>
        <v/>
      </c>
      <c r="AE22" s="96" t="str">
        <f>(_xlfn.SINGLE(IF($L$22="Deep Learning",IF(Table23[[#This Row],[Topic 15]]=1,Table23[[#Headers],[Topic 15]],""),NA())))</f>
        <v/>
      </c>
      <c r="AF22" s="96" t="str">
        <f>(_xlfn.SINGLE(IF($L$22="Deep Learning",IF(Table23[[#This Row],[Topic 16]]=1,Table23[[#Headers],[Topic 16]],""),NA())))</f>
        <v/>
      </c>
      <c r="AG22" s="96" t="str">
        <f>(_xlfn.SINGLE(IF($L$22="Deep Learning",IF(Table23[[#This Row],[Topic 17]]=1,Table23[[#Headers],[Topic 17]],""),NA())))</f>
        <v/>
      </c>
      <c r="AH22" s="96" t="str">
        <f>(_xlfn.SINGLE(IF($L$22="Deep Learning",IF(Table23[[#This Row],[Topic 18]]=1,Table23[[#Headers],[Topic 18]],""),NA())))</f>
        <v/>
      </c>
      <c r="AI22" s="103" t="str">
        <f>(_xlfn.SINGLE(IF($L$22="Deep Learning",IF(Table23[[#This Row],[Topic 19]]=1,Table23[[#Headers],[Topic 19]],""),NA())))</f>
        <v/>
      </c>
      <c r="AN22" s="107" t="s">
        <v>147</v>
      </c>
      <c r="AO22" s="108"/>
      <c r="AP22" s="108"/>
      <c r="AQ22" s="44"/>
      <c r="AR22" s="44"/>
      <c r="AS22" s="44"/>
      <c r="AT22" s="44"/>
      <c r="AU22" s="44"/>
      <c r="AV22" s="44"/>
      <c r="AW22" s="44"/>
      <c r="AX22" s="44"/>
      <c r="AY22" s="44"/>
      <c r="AZ22" s="44"/>
    </row>
    <row r="23" spans="2:54" ht="15" customHeight="1" thickBot="1" x14ac:dyDescent="0.4">
      <c r="G23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>Data Quality</v>
      </c>
      <c r="H23" s="18" t="str">
        <v>Data Quality</v>
      </c>
      <c r="I23" s="66" t="b">
        <v>1</v>
      </c>
      <c r="K23" t="s">
        <v>150</v>
      </c>
      <c r="L23" s="5" t="str">
        <f>IF(I23=TRUE,VLOOKUP(H23,Table23[Skill / Domain Knowledge],1,FALSE),"")</f>
        <v>Data Quality</v>
      </c>
      <c r="P23" s="94" t="str">
        <f>(_xlfn.SINGLE(IF($L$23="Data Quality",IF(Table23[[#This Row],[Topic 0]]=1,Table23[[#Headers],[Topic 0]],""),NA())))</f>
        <v/>
      </c>
      <c r="Q23" s="104" t="str">
        <f>(_xlfn.SINGLE(IF($L$23="Data Quality",IF(Table23[[#This Row],[Topic 1]]=1,Table23[[#Headers],[Topic 1]],""),NA())))</f>
        <v/>
      </c>
      <c r="R23" s="104" t="str">
        <f>(_xlfn.SINGLE(IF($L$23="Data Quality",IF(Table23[[#This Row],[Topic 2]]=1,Table23[[#Headers],[Topic 2]],""),NA())))</f>
        <v/>
      </c>
      <c r="S23" s="104" t="str">
        <f>(_xlfn.SINGLE(IF($L$23="Data Quality",IF(Table23[[#This Row],[Topic 3]]=1,Table23[[#Headers],[Topic 3]],""),NA())))</f>
        <v>Topic 3</v>
      </c>
      <c r="T23" s="104" t="str">
        <f>(_xlfn.SINGLE(IF($L$23="Data Quality",IF(Table23[[#This Row],[Topic 4]]=1,Table23[[#Headers],[Topic 4]],""),NA())))</f>
        <v>Topic 4</v>
      </c>
      <c r="U23" s="104" t="str">
        <f>(_xlfn.SINGLE(IF($L$23="Data Quality",IF(Table23[[#This Row],[Topic 5]]=1,Table23[[#Headers],[Topic 5]],""),NA())))</f>
        <v/>
      </c>
      <c r="V23" s="104" t="str">
        <f>(_xlfn.SINGLE(IF($L$23="Data Quality",IF(Table23[[#This Row],[Topic 6]]=1,Table23[[#Headers],[Topic 6]],""),NA())))</f>
        <v/>
      </c>
      <c r="W23" s="104" t="str">
        <f>(_xlfn.SINGLE(IF($L$23="Data Quality",IF(Table23[[#This Row],[Topic 7]]=1,Table23[[#Headers],[Topic 7]],""),NA())))</f>
        <v/>
      </c>
      <c r="X23" s="104" t="str">
        <f>(_xlfn.SINGLE(IF($L$23="Data Quality",IF(Table23[[#This Row],[Topic 8]]=1,Table23[[#Headers],[Topic 8]],""),NA())))</f>
        <v>Topic 8</v>
      </c>
      <c r="Y23" s="104" t="str">
        <f>(_xlfn.SINGLE(IF($L$23="Data Quality",IF(Table23[[#This Row],[Topic 9]]=1,Table23[[#Headers],[Topic 9]],""),NA())))</f>
        <v/>
      </c>
      <c r="Z23" s="104" t="str">
        <f>(_xlfn.SINGLE(IF($L$23="Data Quality",IF(Table23[[#This Row],[Topic 10]]=1,Table23[[#Headers],[Topic 10]],""),NA())))</f>
        <v/>
      </c>
      <c r="AA23" s="104" t="str">
        <f>(_xlfn.SINGLE(IF($L$23="Data Quality",IF(Table23[[#This Row],[Topic 11]]=1,Table23[[#Headers],[Topic 11]],""),NA())))</f>
        <v/>
      </c>
      <c r="AB23" s="104" t="str">
        <f>(_xlfn.SINGLE(IF($L$23="Data Quality",IF(Table23[[#This Row],[Topic 12]]=1,Table23[[#Headers],[Topic 12]],""),NA())))</f>
        <v/>
      </c>
      <c r="AC23" s="104" t="str">
        <f>(_xlfn.SINGLE(IF($L$23="Data Quality",IF(Table23[[#This Row],[Topic 13]]=1,Table23[[#Headers],[Topic 13]],""),NA())))</f>
        <v/>
      </c>
      <c r="AD23" s="104" t="str">
        <f>(_xlfn.SINGLE(IF($L$23="Data Quality",IF(Table23[[#This Row],[Topic 14]]=1,Table23[[#Headers],[Topic 14]],""),NA())))</f>
        <v/>
      </c>
      <c r="AE23" s="104" t="str">
        <f>(_xlfn.SINGLE(IF($L$23="Data Quality",IF(Table23[[#This Row],[Topic 15]]=1,Table23[[#Headers],[Topic 15]],""),NA())))</f>
        <v/>
      </c>
      <c r="AF23" s="104" t="str">
        <f>(_xlfn.SINGLE(IF($L$23="Data Quality",IF(Table23[[#This Row],[Topic 16]]=1,Table23[[#Headers],[Topic 16]],""),NA())))</f>
        <v/>
      </c>
      <c r="AG23" s="104" t="str">
        <f>(_xlfn.SINGLE(IF($L$23="Data Quality",IF(Table23[[#This Row],[Topic 17]]=1,Table23[[#Headers],[Topic 17]],""),NA())))</f>
        <v>Topic 17</v>
      </c>
      <c r="AH23" s="104" t="str">
        <f>(_xlfn.SINGLE(IF($L$23="Data Quality",IF(Table23[[#This Row],[Topic 18]]=1,Table23[[#Headers],[Topic 18]],""),NA())))</f>
        <v/>
      </c>
      <c r="AI23" s="105" t="str">
        <f>(_xlfn.SINGLE(IF($L$23="Data Quality",IF(Table23[[#This Row],[Topic 19]]=1,Table23[[#Headers],[Topic 19]],""),NA())))</f>
        <v/>
      </c>
      <c r="AN23" s="107" t="s">
        <v>151</v>
      </c>
      <c r="AO23" s="108"/>
      <c r="AP23" s="108"/>
      <c r="AQ23" s="44"/>
      <c r="AR23" s="44"/>
      <c r="AS23" s="44"/>
      <c r="AT23" s="44"/>
      <c r="AU23" s="44"/>
      <c r="AV23" s="44"/>
      <c r="AW23" s="44"/>
      <c r="AX23" s="44"/>
      <c r="AY23" s="44"/>
      <c r="AZ23" s="44"/>
    </row>
    <row r="24" spans="2:54" ht="15" customHeight="1" x14ac:dyDescent="0.35">
      <c r="G24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H24" s="18"/>
      <c r="I24" s="66" t="b">
        <v>0</v>
      </c>
      <c r="K24" t="s">
        <v>155</v>
      </c>
      <c r="L24" s="5" t="str">
        <f>IF(I24=TRUE,VLOOKUP(H24,Table23[Skill / Domain Knowledge],1,FALSE),"")</f>
        <v/>
      </c>
      <c r="P24" s="96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</row>
    <row r="25" spans="2:54" ht="15" hidden="1" customHeight="1" thickBot="1" x14ac:dyDescent="0.4">
      <c r="C25" t="s">
        <v>152</v>
      </c>
      <c r="D25" t="s">
        <v>153</v>
      </c>
      <c r="E25" t="s">
        <v>154</v>
      </c>
      <c r="G25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H25" s="18"/>
      <c r="I25" s="66" t="b">
        <v>1</v>
      </c>
      <c r="K25" t="s">
        <v>159</v>
      </c>
      <c r="L25" s="5" t="e">
        <f>IF(I25=TRUE,VLOOKUP(H25,Table23[Skill / Domain Knowledge],1,FALSE),"")</f>
        <v>#N/A</v>
      </c>
      <c r="P25" t="s">
        <v>188</v>
      </c>
      <c r="Q25" t="s">
        <v>189</v>
      </c>
      <c r="R25" t="s">
        <v>190</v>
      </c>
      <c r="S25" t="s">
        <v>191</v>
      </c>
      <c r="T25" t="s">
        <v>192</v>
      </c>
      <c r="U25" t="s">
        <v>193</v>
      </c>
      <c r="V25" t="s">
        <v>194</v>
      </c>
      <c r="W25" t="s">
        <v>195</v>
      </c>
      <c r="X25" t="s">
        <v>196</v>
      </c>
      <c r="Y25" t="s">
        <v>197</v>
      </c>
      <c r="Z25" t="s">
        <v>198</v>
      </c>
      <c r="AA25" t="s">
        <v>199</v>
      </c>
      <c r="AB25" t="s">
        <v>200</v>
      </c>
      <c r="AC25" t="s">
        <v>201</v>
      </c>
      <c r="AD25" t="s">
        <v>202</v>
      </c>
      <c r="AE25" t="s">
        <v>203</v>
      </c>
      <c r="AF25" t="s">
        <v>204</v>
      </c>
      <c r="AG25" t="s">
        <v>205</v>
      </c>
      <c r="AH25" t="s">
        <v>206</v>
      </c>
      <c r="AI25" t="s">
        <v>207</v>
      </c>
    </row>
    <row r="26" spans="2:54" ht="15" hidden="1" customHeight="1" x14ac:dyDescent="0.35">
      <c r="C26" t="s">
        <v>156</v>
      </c>
      <c r="D26" t="s">
        <v>157</v>
      </c>
      <c r="E26" t="s">
        <v>158</v>
      </c>
      <c r="G26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H26" s="18"/>
      <c r="I26" s="66"/>
      <c r="K26" t="s">
        <v>162</v>
      </c>
      <c r="L26" s="5" t="str">
        <f>IF(I26=TRUE,VLOOKUP(H26,Table23[Skill / Domain Knowledge],1,FALSE),"")</f>
        <v/>
      </c>
      <c r="P26" s="81" t="str" cm="1">
        <f t="array" ref="P26:P55">IF('Topic-Module_Matrix'!D6:D35&gt;UI_v2!$O$6,'Topic-Module_Matrix'!$C$6:$C$35,"")</f>
        <v/>
      </c>
      <c r="Q26" s="82" t="str" cm="1">
        <f t="array" ref="Q26:Q55">IF('Topic-Module_Matrix'!E6:E35&gt;UI_v2!$O$6,'Topic-Module_Matrix'!$C$6:$C$35,"")</f>
        <v>Overview of the Data Mining Process</v>
      </c>
      <c r="R26" s="82" t="str" cm="1">
        <f t="array" ref="R26:R55">IF('Topic-Module_Matrix'!F6:F35&gt;UI_v2!$O$6,'Topic-Module_Matrix'!$C$6:$C$35,"")</f>
        <v>Overview of the Data Mining Process</v>
      </c>
      <c r="S26" s="82" t="str" cm="1">
        <f t="array" ref="S26:S55">IF('Topic-Module_Matrix'!G6:G35&gt;UI_v2!$O$6,'Topic-Module_Matrix'!$C$6:$C$35,"")</f>
        <v/>
      </c>
      <c r="T26" s="82" t="str" cm="1">
        <f t="array" ref="T26:T55">IF('Topic-Module_Matrix'!H6:H35&gt;UI_v2!$O$6,'Topic-Module_Matrix'!$C$6:$C$35,"")</f>
        <v>Overview of the Data Mining Process</v>
      </c>
      <c r="U26" s="82" t="str" cm="1">
        <f t="array" ref="U26:U55">IF('Topic-Module_Matrix'!I6:I35&gt;UI_v2!$O$6,'Topic-Module_Matrix'!$C$6:$C$35,"")</f>
        <v/>
      </c>
      <c r="V26" s="82" t="str" cm="1">
        <f t="array" ref="V26:V55">IF('Topic-Module_Matrix'!J6:J35&gt;UI_v2!$O$6,'Topic-Module_Matrix'!$C$6:$C$35,"")</f>
        <v/>
      </c>
      <c r="W26" s="82" t="str" cm="1">
        <f t="array" ref="W26:W55">IF('Topic-Module_Matrix'!K6:K35&gt;UI_v2!$O$6,'Topic-Module_Matrix'!$C$6:$C$35,"")</f>
        <v/>
      </c>
      <c r="X26" s="82" t="str" cm="1">
        <f t="array" ref="X26:X55">IF('Topic-Module_Matrix'!L6:L35&gt;UI_v2!$O$6,'Topic-Module_Matrix'!$C$6:$C$35,"")</f>
        <v/>
      </c>
      <c r="Y26" s="82" t="str" cm="1">
        <f t="array" ref="Y26:Y55">IF('Topic-Module_Matrix'!M6:M35&gt;UI_v2!$O$6,'Topic-Module_Matrix'!$C$6:$C$35,"")</f>
        <v/>
      </c>
      <c r="Z26" s="82" t="str" cm="1">
        <f t="array" ref="Z26:Z55">IF('Topic-Module_Matrix'!N6:N35&gt;UI_v2!$O$6,'Topic-Module_Matrix'!$C$6:$C$35,"")</f>
        <v/>
      </c>
      <c r="AA26" s="82" t="str" cm="1">
        <f t="array" ref="AA26:AA55">IF('Topic-Module_Matrix'!O6:O35&gt;UI_v2!$O$6,'Topic-Module_Matrix'!$C$6:$C$35,"")</f>
        <v/>
      </c>
      <c r="AB26" s="82" t="str" cm="1">
        <f t="array" ref="AB26:AB55">IF('Topic-Module_Matrix'!P6:P35&gt;UI_v2!$O$6,'Topic-Module_Matrix'!$C$6:$C$35,"")</f>
        <v/>
      </c>
      <c r="AC26" s="82" t="str" cm="1">
        <f t="array" ref="AC26:AC55">IF('Topic-Module_Matrix'!Q6:Q35&gt;UI_v2!$O$6,'Topic-Module_Matrix'!$C$6:$C$35,"")</f>
        <v/>
      </c>
      <c r="AD26" s="82" t="str" cm="1">
        <f t="array" ref="AD26:AD55">IF('Topic-Module_Matrix'!R6:R35&gt;UI_v2!$O$6,'Topic-Module_Matrix'!$C$6:$C$35,"")</f>
        <v>Overview of the Data Mining Process</v>
      </c>
      <c r="AE26" s="82" t="str" cm="1">
        <f t="array" ref="AE26:AE55">IF('Topic-Module_Matrix'!S6:S35&gt;UI_v2!$O$6,'Topic-Module_Matrix'!$C$6:$C$35,"")</f>
        <v/>
      </c>
      <c r="AF26" s="82" t="str" cm="1">
        <f t="array" ref="AF26:AF55">IF('Topic-Module_Matrix'!T6:T35&gt;UI_v2!$O$6,'Topic-Module_Matrix'!$C$6:$C$35,"")</f>
        <v>Overview of the Data Mining Process</v>
      </c>
      <c r="AG26" s="82" t="str" cm="1">
        <f t="array" ref="AG26:AG55">IF('Topic-Module_Matrix'!U6:U35&gt;UI_v2!$O$6,'Topic-Module_Matrix'!$C$6:$C$35,"")</f>
        <v/>
      </c>
      <c r="AH26" s="82" t="str" cm="1">
        <f t="array" ref="AH26:AH55">IF('Topic-Module_Matrix'!V6:V35&gt;UI_v2!$O$6,'Topic-Module_Matrix'!$C$6:$C$35,"")</f>
        <v/>
      </c>
      <c r="AI26" s="83" t="str" cm="1">
        <f t="array" ref="AI26:AI55">IF('Topic-Module_Matrix'!W6:W35&gt;UI_v2!$O$6,'Topic-Module_Matrix'!$C$6:$C$35,"")</f>
        <v>Overview of the Data Mining Process</v>
      </c>
    </row>
    <row r="27" spans="2:54" ht="15" hidden="1" customHeight="1" x14ac:dyDescent="0.35">
      <c r="C27" t="s">
        <v>160</v>
      </c>
      <c r="D27" t="s">
        <v>161</v>
      </c>
      <c r="G27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H27" s="18"/>
      <c r="I27" s="66"/>
      <c r="L27" s="5" t="str">
        <f>IF(I27=TRUE,VLOOKUP(H27,Table23[Skill / Domain Knowledge],1,FALSE),"")</f>
        <v/>
      </c>
      <c r="P27" s="84" t="str">
        <v/>
      </c>
      <c r="Q27" s="85" t="str">
        <v>Basic Data Visualization</v>
      </c>
      <c r="R27" s="85" t="str">
        <v/>
      </c>
      <c r="S27" s="86" t="str">
        <v>Basic Data Visualization</v>
      </c>
      <c r="T27" s="86" t="str">
        <v>Basic Data Visualization</v>
      </c>
      <c r="U27" s="86" t="str">
        <v>Basic Data Visualization</v>
      </c>
      <c r="V27" s="86" t="str">
        <v/>
      </c>
      <c r="W27" s="86" t="str">
        <v/>
      </c>
      <c r="X27" s="86" t="str">
        <v/>
      </c>
      <c r="Y27" s="86" t="str">
        <v/>
      </c>
      <c r="Z27" s="86" t="str">
        <v/>
      </c>
      <c r="AA27" s="86" t="str">
        <v/>
      </c>
      <c r="AB27" s="86" t="str">
        <v>Basic Data Visualization</v>
      </c>
      <c r="AC27" s="86" t="str">
        <v/>
      </c>
      <c r="AD27" s="86" t="str">
        <v/>
      </c>
      <c r="AE27" s="86" t="str">
        <v/>
      </c>
      <c r="AF27" s="86" t="str">
        <v/>
      </c>
      <c r="AG27" s="86" t="str">
        <v/>
      </c>
      <c r="AH27" s="86" t="str">
        <v/>
      </c>
      <c r="AI27" s="87" t="str">
        <v>Basic Data Visualization</v>
      </c>
    </row>
    <row r="28" spans="2:54" ht="15" hidden="1" customHeight="1" x14ac:dyDescent="0.35">
      <c r="C28" t="s">
        <v>163</v>
      </c>
      <c r="D28" t="s">
        <v>164</v>
      </c>
      <c r="G28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H28" s="18"/>
      <c r="I28" s="66" t="b">
        <v>1</v>
      </c>
      <c r="L28" s="5" t="e">
        <f>IF(I28=TRUE,VLOOKUP(H28,Table23[Skill / Domain Knowledge],1,FALSE),"")</f>
        <v>#N/A</v>
      </c>
      <c r="P28" s="88" t="str">
        <v/>
      </c>
      <c r="Q28" s="86" t="str">
        <v>Advanced Data Visualization</v>
      </c>
      <c r="R28" s="86" t="str">
        <v/>
      </c>
      <c r="S28" s="86" t="str">
        <v>Advanced Data Visualization</v>
      </c>
      <c r="T28" s="86" t="str">
        <v>Advanced Data Visualization</v>
      </c>
      <c r="U28" s="86" t="str">
        <v/>
      </c>
      <c r="V28" s="86" t="str">
        <v/>
      </c>
      <c r="W28" s="86" t="str">
        <v/>
      </c>
      <c r="X28" s="86" t="str">
        <v/>
      </c>
      <c r="Y28" s="86" t="str">
        <v/>
      </c>
      <c r="Z28" s="86" t="str">
        <v/>
      </c>
      <c r="AA28" s="86" t="str">
        <v/>
      </c>
      <c r="AB28" s="86" t="str">
        <v/>
      </c>
      <c r="AC28" s="86" t="str">
        <v/>
      </c>
      <c r="AD28" s="86" t="str">
        <v/>
      </c>
      <c r="AE28" s="86" t="str">
        <v/>
      </c>
      <c r="AF28" s="86" t="str">
        <v/>
      </c>
      <c r="AG28" s="86" t="str">
        <v/>
      </c>
      <c r="AH28" s="86" t="str">
        <v/>
      </c>
      <c r="AI28" s="87" t="str">
        <v>Advanced Data Visualization</v>
      </c>
    </row>
    <row r="29" spans="2:54" ht="15" hidden="1" customHeight="1" x14ac:dyDescent="0.35">
      <c r="C29" t="s">
        <v>164</v>
      </c>
      <c r="D29" t="s">
        <v>165</v>
      </c>
      <c r="G29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H29" s="18"/>
      <c r="I29" s="66"/>
      <c r="L29" s="5" t="str">
        <f>IF(I29=TRUE,VLOOKUP(H29,Table23[Skill / Domain Knowledge],1,FALSE),"")</f>
        <v/>
      </c>
      <c r="P29" s="88" t="str">
        <v/>
      </c>
      <c r="Q29" s="86" t="str">
        <v>Dimension Reduction</v>
      </c>
      <c r="R29" s="86" t="str">
        <v>Dimension Reduction</v>
      </c>
      <c r="S29" s="86" t="str">
        <v/>
      </c>
      <c r="T29" s="86" t="str">
        <v>Dimension Reduction</v>
      </c>
      <c r="U29" s="86" t="str">
        <v>Dimension Reduction</v>
      </c>
      <c r="V29" s="86" t="str">
        <v/>
      </c>
      <c r="W29" s="86" t="str">
        <v/>
      </c>
      <c r="X29" s="86" t="str">
        <v/>
      </c>
      <c r="Y29" s="86" t="str">
        <v/>
      </c>
      <c r="Z29" s="86" t="str">
        <v/>
      </c>
      <c r="AA29" s="86" t="str">
        <v/>
      </c>
      <c r="AB29" s="86" t="str">
        <v>Dimension Reduction</v>
      </c>
      <c r="AC29" s="86" t="str">
        <v/>
      </c>
      <c r="AD29" s="86" t="str">
        <v/>
      </c>
      <c r="AE29" s="86" t="str">
        <v/>
      </c>
      <c r="AF29" s="86" t="str">
        <v>Dimension Reduction</v>
      </c>
      <c r="AG29" s="86" t="str">
        <v/>
      </c>
      <c r="AH29" s="86" t="str">
        <v/>
      </c>
      <c r="AI29" s="87" t="str">
        <v>Dimension Reduction</v>
      </c>
    </row>
    <row r="30" spans="2:54" ht="15" hidden="1" customHeight="1" x14ac:dyDescent="0.35">
      <c r="C30" t="s">
        <v>166</v>
      </c>
      <c r="D30" t="s">
        <v>167</v>
      </c>
      <c r="G30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H30" s="18"/>
      <c r="I30" s="66" t="b">
        <v>0</v>
      </c>
      <c r="L30" s="5" t="str">
        <f>IF(I30=TRUE,VLOOKUP(H30,Table23[Skill / Domain Knowledge],1,FALSE),"")</f>
        <v/>
      </c>
      <c r="P30" s="88" t="str">
        <v/>
      </c>
      <c r="Q30" s="86" t="str">
        <v>Measures and Metrics for Performance Evaluation</v>
      </c>
      <c r="R30" s="86" t="str">
        <v>Measures and Metrics for Performance Evaluation</v>
      </c>
      <c r="S30" s="86" t="str">
        <v/>
      </c>
      <c r="T30" s="86" t="str">
        <v>Measures and Metrics for Performance Evaluation</v>
      </c>
      <c r="U30" s="86" t="str">
        <v/>
      </c>
      <c r="V30" s="86" t="str">
        <v/>
      </c>
      <c r="W30" s="86" t="str">
        <v/>
      </c>
      <c r="X30" s="86" t="str">
        <v/>
      </c>
      <c r="Y30" s="86" t="str">
        <v/>
      </c>
      <c r="Z30" s="86" t="str">
        <v>Measures and Metrics for Performance Evaluation</v>
      </c>
      <c r="AA30" s="86" t="str">
        <v/>
      </c>
      <c r="AB30" s="86" t="str">
        <v/>
      </c>
      <c r="AC30" s="86" t="str">
        <v/>
      </c>
      <c r="AD30" s="86" t="str">
        <v/>
      </c>
      <c r="AE30" s="86" t="str">
        <v/>
      </c>
      <c r="AF30" s="86" t="str">
        <v>Measures and Metrics for Performance Evaluation</v>
      </c>
      <c r="AG30" s="86" t="str">
        <v/>
      </c>
      <c r="AH30" s="86" t="str">
        <v/>
      </c>
      <c r="AI30" s="87" t="str">
        <v/>
      </c>
    </row>
    <row r="31" spans="2:54" ht="15" hidden="1" customHeight="1" x14ac:dyDescent="0.35">
      <c r="C31" t="s">
        <v>168</v>
      </c>
      <c r="D31" t="s">
        <v>169</v>
      </c>
      <c r="G31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H31" s="18"/>
      <c r="I31" s="66" t="b">
        <v>1</v>
      </c>
      <c r="L31" s="5" t="e">
        <f>IF(I31=TRUE,VLOOKUP(H31,Table23[Skill / Domain Knowledge],1,FALSE),"")</f>
        <v>#N/A</v>
      </c>
      <c r="P31" s="88" t="str">
        <v/>
      </c>
      <c r="Q31" s="86" t="str">
        <v>Predictive and Classification Performance Evaluation Methods</v>
      </c>
      <c r="R31" s="86" t="str">
        <v/>
      </c>
      <c r="S31" s="86" t="str">
        <v/>
      </c>
      <c r="T31" s="86" t="str">
        <v/>
      </c>
      <c r="U31" s="86" t="str">
        <v/>
      </c>
      <c r="V31" s="86" t="str">
        <v/>
      </c>
      <c r="W31" s="86" t="str">
        <v/>
      </c>
      <c r="X31" s="86" t="str">
        <v/>
      </c>
      <c r="Y31" s="86" t="str">
        <v/>
      </c>
      <c r="Z31" s="86" t="str">
        <v>Predictive and Classification Performance Evaluation Methods</v>
      </c>
      <c r="AA31" s="86" t="str">
        <v/>
      </c>
      <c r="AB31" s="86" t="str">
        <v/>
      </c>
      <c r="AC31" s="86" t="str">
        <v/>
      </c>
      <c r="AD31" s="86" t="str">
        <v/>
      </c>
      <c r="AE31" s="86" t="str">
        <v/>
      </c>
      <c r="AF31" s="86" t="str">
        <v>Predictive and Classification Performance Evaluation Methods</v>
      </c>
      <c r="AG31" s="86" t="str">
        <v/>
      </c>
      <c r="AH31" s="86" t="str">
        <v/>
      </c>
      <c r="AI31" s="87" t="str">
        <v/>
      </c>
    </row>
    <row r="32" spans="2:54" ht="15" hidden="1" customHeight="1" x14ac:dyDescent="0.35">
      <c r="C32" t="s">
        <v>170</v>
      </c>
      <c r="D32" t="s">
        <v>171</v>
      </c>
      <c r="G32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H32" s="18"/>
      <c r="I32" s="66" t="b">
        <v>1</v>
      </c>
      <c r="L32" s="5" t="e">
        <f>IF(I32=TRUE,VLOOKUP(H32,Table23[Skill / Domain Knowledge],1,FALSE),"")</f>
        <v>#N/A</v>
      </c>
      <c r="P32" s="88" t="str">
        <v/>
      </c>
      <c r="Q32" s="86" t="str">
        <v>Multiple Linear Regression</v>
      </c>
      <c r="R32" s="86" t="str">
        <v>Multiple Linear Regression</v>
      </c>
      <c r="S32" s="86" t="str">
        <v/>
      </c>
      <c r="T32" s="86" t="str">
        <v/>
      </c>
      <c r="U32" s="86" t="str">
        <v/>
      </c>
      <c r="V32" s="86" t="str">
        <v/>
      </c>
      <c r="W32" s="86" t="str">
        <v/>
      </c>
      <c r="X32" s="86" t="str">
        <v/>
      </c>
      <c r="Y32" s="86" t="str">
        <v/>
      </c>
      <c r="Z32" s="86" t="str">
        <v/>
      </c>
      <c r="AA32" s="86" t="str">
        <v/>
      </c>
      <c r="AB32" s="86" t="str">
        <v>Multiple Linear Regression</v>
      </c>
      <c r="AC32" s="86" t="str">
        <v/>
      </c>
      <c r="AD32" s="86" t="str">
        <v/>
      </c>
      <c r="AE32" s="86" t="str">
        <v/>
      </c>
      <c r="AF32" s="86" t="str">
        <v>Multiple Linear Regression</v>
      </c>
      <c r="AG32" s="86" t="str">
        <v/>
      </c>
      <c r="AH32" s="86" t="str">
        <v/>
      </c>
      <c r="AI32" s="87" t="str">
        <v>Multiple Linear Regression</v>
      </c>
    </row>
    <row r="33" spans="3:40" ht="15" hidden="1" customHeight="1" x14ac:dyDescent="0.35">
      <c r="C33" t="s">
        <v>172</v>
      </c>
      <c r="D33" t="s">
        <v>173</v>
      </c>
      <c r="G33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H33" s="18"/>
      <c r="I33" s="66"/>
      <c r="L33" s="5" t="str">
        <f>IF(I33=TRUE,VLOOKUP(H33,Table23[Skill / Domain Knowledge],1,FALSE),"")</f>
        <v/>
      </c>
      <c r="P33" s="88" t="str">
        <v/>
      </c>
      <c r="Q33" s="86" t="str">
        <v>k-Nearest Neighbors</v>
      </c>
      <c r="R33" s="86" t="str">
        <v>k-Nearest Neighbors</v>
      </c>
      <c r="S33" s="86" t="str">
        <v>k-Nearest Neighbors</v>
      </c>
      <c r="T33" s="86" t="str">
        <v>k-Nearest Neighbors</v>
      </c>
      <c r="U33" s="86" t="str">
        <v>k-Nearest Neighbors</v>
      </c>
      <c r="V33" s="86" t="str">
        <v/>
      </c>
      <c r="W33" s="86" t="str">
        <v/>
      </c>
      <c r="X33" s="86" t="str">
        <v/>
      </c>
      <c r="Y33" s="86" t="str">
        <v/>
      </c>
      <c r="Z33" s="86" t="str">
        <v>k-Nearest Neighbors</v>
      </c>
      <c r="AA33" s="86" t="str">
        <v/>
      </c>
      <c r="AB33" s="86" t="str">
        <v/>
      </c>
      <c r="AC33" s="86" t="str">
        <v/>
      </c>
      <c r="AD33" s="86" t="str">
        <v/>
      </c>
      <c r="AE33" s="86" t="str">
        <v/>
      </c>
      <c r="AF33" s="86" t="str">
        <v>k-Nearest Neighbors</v>
      </c>
      <c r="AG33" s="86" t="str">
        <v/>
      </c>
      <c r="AH33" s="86" t="str">
        <v/>
      </c>
      <c r="AI33" s="87" t="str">
        <v>k-Nearest Neighbors</v>
      </c>
    </row>
    <row r="34" spans="3:40" ht="15" hidden="1" customHeight="1" x14ac:dyDescent="0.35">
      <c r="C34" t="s">
        <v>174</v>
      </c>
      <c r="G34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P34" s="88" t="str">
        <v/>
      </c>
      <c r="Q34" s="86" t="str">
        <v xml:space="preserve">The Naive Bayes Classifier </v>
      </c>
      <c r="R34" s="86" t="str">
        <v xml:space="preserve">The Naive Bayes Classifier </v>
      </c>
      <c r="S34" s="86" t="str">
        <v/>
      </c>
      <c r="T34" s="86" t="str">
        <v xml:space="preserve">The Naive Bayes Classifier </v>
      </c>
      <c r="U34" s="86" t="str">
        <v/>
      </c>
      <c r="V34" s="86" t="str">
        <v/>
      </c>
      <c r="W34" s="86" t="str">
        <v/>
      </c>
      <c r="X34" s="86" t="str">
        <v/>
      </c>
      <c r="Y34" s="86" t="str">
        <v xml:space="preserve">The Naive Bayes Classifier </v>
      </c>
      <c r="Z34" s="86" t="str">
        <v xml:space="preserve">The Naive Bayes Classifier </v>
      </c>
      <c r="AA34" s="86" t="str">
        <v/>
      </c>
      <c r="AB34" s="86" t="str">
        <v xml:space="preserve">The Naive Bayes Classifier </v>
      </c>
      <c r="AC34" s="86" t="str">
        <v/>
      </c>
      <c r="AD34" s="86" t="str">
        <v/>
      </c>
      <c r="AE34" s="86" t="str">
        <v/>
      </c>
      <c r="AF34" s="86" t="str">
        <v xml:space="preserve">The Naive Bayes Classifier </v>
      </c>
      <c r="AG34" s="86" t="str">
        <v/>
      </c>
      <c r="AH34" s="86" t="str">
        <v/>
      </c>
      <c r="AI34" s="87" t="str">
        <v/>
      </c>
      <c r="AN34" s="80"/>
    </row>
    <row r="35" spans="3:40" ht="15" hidden="1" customHeight="1" x14ac:dyDescent="0.35">
      <c r="C35" t="s">
        <v>175</v>
      </c>
      <c r="G35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P35" s="88" t="str">
        <v/>
      </c>
      <c r="Q35" s="86" t="str">
        <v>Classification Trees</v>
      </c>
      <c r="R35" s="86" t="str">
        <v/>
      </c>
      <c r="S35" s="86" t="str">
        <v/>
      </c>
      <c r="T35" s="86" t="str">
        <v>Classification Trees</v>
      </c>
      <c r="U35" s="86" t="str">
        <v/>
      </c>
      <c r="V35" s="86" t="str">
        <v>Classification Trees</v>
      </c>
      <c r="W35" s="86" t="str">
        <v/>
      </c>
      <c r="X35" s="86" t="str">
        <v/>
      </c>
      <c r="Y35" s="86" t="str">
        <v>Classification Trees</v>
      </c>
      <c r="Z35" s="86" t="str">
        <v>Classification Trees</v>
      </c>
      <c r="AA35" s="86" t="str">
        <v/>
      </c>
      <c r="AB35" s="86" t="str">
        <v/>
      </c>
      <c r="AC35" s="86" t="str">
        <v/>
      </c>
      <c r="AD35" s="86" t="str">
        <v/>
      </c>
      <c r="AE35" s="86" t="str">
        <v/>
      </c>
      <c r="AF35" s="86" t="str">
        <v>Classification Trees</v>
      </c>
      <c r="AG35" s="86" t="str">
        <v/>
      </c>
      <c r="AH35" s="86" t="str">
        <v/>
      </c>
      <c r="AI35" s="87" t="str">
        <v/>
      </c>
    </row>
    <row r="36" spans="3:40" ht="15" hidden="1" customHeight="1" x14ac:dyDescent="0.35">
      <c r="C36" t="s">
        <v>176</v>
      </c>
      <c r="G36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P36" s="88" t="str">
        <v/>
      </c>
      <c r="Q36" s="86" t="str">
        <v>Advanced Topics In Classification and Regression Trees</v>
      </c>
      <c r="R36" s="86" t="str">
        <v>Advanced Topics In Classification and Regression Trees</v>
      </c>
      <c r="S36" s="86" t="str">
        <v/>
      </c>
      <c r="T36" s="86" t="str">
        <v/>
      </c>
      <c r="U36" s="86" t="str">
        <v/>
      </c>
      <c r="V36" s="86" t="str">
        <v>Advanced Topics In Classification and Regression Trees</v>
      </c>
      <c r="W36" s="86" t="str">
        <v/>
      </c>
      <c r="X36" s="86" t="str">
        <v/>
      </c>
      <c r="Y36" s="86" t="str">
        <v/>
      </c>
      <c r="Z36" s="86" t="str">
        <v>Advanced Topics In Classification and Regression Trees</v>
      </c>
      <c r="AA36" s="86" t="str">
        <v/>
      </c>
      <c r="AB36" s="86" t="str">
        <v/>
      </c>
      <c r="AC36" s="86" t="str">
        <v/>
      </c>
      <c r="AD36" s="86" t="str">
        <v/>
      </c>
      <c r="AE36" s="86" t="str">
        <v/>
      </c>
      <c r="AF36" s="86" t="str">
        <v>Advanced Topics In Classification and Regression Trees</v>
      </c>
      <c r="AG36" s="86" t="str">
        <v/>
      </c>
      <c r="AH36" s="86" t="str">
        <v/>
      </c>
      <c r="AI36" s="87" t="str">
        <v/>
      </c>
    </row>
    <row r="37" spans="3:40" ht="15" hidden="1" customHeight="1" x14ac:dyDescent="0.35">
      <c r="C37" t="s">
        <v>177</v>
      </c>
      <c r="G37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P37" s="88" t="str">
        <v/>
      </c>
      <c r="Q37" s="86" t="str">
        <v>Logistic Regression</v>
      </c>
      <c r="R37" s="86" t="str">
        <v>Logistic Regression</v>
      </c>
      <c r="S37" s="86" t="str">
        <v/>
      </c>
      <c r="T37" s="86" t="str">
        <v/>
      </c>
      <c r="U37" s="86" t="str">
        <v/>
      </c>
      <c r="V37" s="86" t="str">
        <v/>
      </c>
      <c r="W37" s="86" t="str">
        <v/>
      </c>
      <c r="X37" s="86" t="str">
        <v/>
      </c>
      <c r="Y37" s="86" t="str">
        <v>Logistic Regression</v>
      </c>
      <c r="Z37" s="86" t="str">
        <v>Logistic Regression</v>
      </c>
      <c r="AA37" s="86" t="str">
        <v/>
      </c>
      <c r="AB37" s="86" t="str">
        <v>Logistic Regression</v>
      </c>
      <c r="AC37" s="86" t="str">
        <v>Logistic Regression</v>
      </c>
      <c r="AD37" s="86" t="str">
        <v/>
      </c>
      <c r="AE37" s="86" t="str">
        <v/>
      </c>
      <c r="AF37" s="86" t="str">
        <v>Logistic Regression</v>
      </c>
      <c r="AG37" s="86" t="str">
        <v/>
      </c>
      <c r="AH37" s="86" t="str">
        <v/>
      </c>
      <c r="AI37" s="87" t="str">
        <v/>
      </c>
    </row>
    <row r="38" spans="3:40" hidden="1" x14ac:dyDescent="0.35">
      <c r="C38" t="s">
        <v>178</v>
      </c>
      <c r="G38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P38" s="88" t="str">
        <v/>
      </c>
      <c r="Q38" s="86" t="str">
        <v>Neural Nets</v>
      </c>
      <c r="R38" s="86" t="str">
        <v>Neural Nets</v>
      </c>
      <c r="S38" s="86" t="str">
        <v>Neural Nets</v>
      </c>
      <c r="T38" s="86" t="str">
        <v>Neural Nets</v>
      </c>
      <c r="U38" s="86" t="str">
        <v/>
      </c>
      <c r="V38" s="86" t="str">
        <v/>
      </c>
      <c r="W38" s="86" t="str">
        <v/>
      </c>
      <c r="X38" s="86" t="str">
        <v/>
      </c>
      <c r="Y38" s="86" t="str">
        <v>Neural Nets</v>
      </c>
      <c r="Z38" s="86" t="str">
        <v/>
      </c>
      <c r="AA38" s="86" t="str">
        <v/>
      </c>
      <c r="AB38" s="86" t="str">
        <v/>
      </c>
      <c r="AC38" s="86" t="str">
        <v>Neural Nets</v>
      </c>
      <c r="AD38" s="86" t="str">
        <v/>
      </c>
      <c r="AE38" s="86" t="str">
        <v/>
      </c>
      <c r="AF38" s="86" t="str">
        <v/>
      </c>
      <c r="AG38" s="86" t="str">
        <v/>
      </c>
      <c r="AH38" s="86" t="str">
        <v/>
      </c>
      <c r="AI38" s="87" t="str">
        <v/>
      </c>
    </row>
    <row r="39" spans="3:40" ht="43.5" hidden="1" x14ac:dyDescent="0.35">
      <c r="C39" t="s">
        <v>179</v>
      </c>
      <c r="G39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I39" s="12"/>
      <c r="P39" s="88" t="str">
        <v/>
      </c>
      <c r="Q39" s="86" t="str">
        <v>Advanced Concepts of Neural Nets</v>
      </c>
      <c r="R39" s="86" t="str">
        <v/>
      </c>
      <c r="S39" s="86" t="str">
        <v/>
      </c>
      <c r="T39" s="86" t="str">
        <v>Advanced Concepts of Neural Nets</v>
      </c>
      <c r="U39" s="86" t="str">
        <v/>
      </c>
      <c r="V39" s="86" t="str">
        <v/>
      </c>
      <c r="W39" s="86" t="str">
        <v/>
      </c>
      <c r="X39" s="86" t="str">
        <v/>
      </c>
      <c r="Y39" s="86" t="str">
        <v>Advanced Concepts of Neural Nets</v>
      </c>
      <c r="Z39" s="86" t="str">
        <v/>
      </c>
      <c r="AA39" s="86" t="str">
        <v/>
      </c>
      <c r="AB39" s="86" t="str">
        <v>Advanced Concepts of Neural Nets</v>
      </c>
      <c r="AC39" s="86" t="str">
        <v>Advanced Concepts of Neural Nets</v>
      </c>
      <c r="AD39" s="86" t="str">
        <v>Advanced Concepts of Neural Nets</v>
      </c>
      <c r="AE39" s="86" t="str">
        <v/>
      </c>
      <c r="AF39" s="86" t="str">
        <v>Advanced Concepts of Neural Nets</v>
      </c>
      <c r="AG39" s="86" t="str">
        <v/>
      </c>
      <c r="AH39" s="86" t="str">
        <v/>
      </c>
      <c r="AI39" s="87" t="str">
        <v/>
      </c>
    </row>
    <row r="40" spans="3:40" ht="29" hidden="1" x14ac:dyDescent="0.35">
      <c r="C40" t="s">
        <v>180</v>
      </c>
      <c r="G40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I40" s="4"/>
      <c r="P40" s="88" t="str">
        <v/>
      </c>
      <c r="Q40" s="86" t="str">
        <v>Discriminant Analysis</v>
      </c>
      <c r="R40" s="86" t="str">
        <v>Discriminant Analysis</v>
      </c>
      <c r="S40" s="86" t="str">
        <v/>
      </c>
      <c r="T40" s="86" t="str">
        <v/>
      </c>
      <c r="U40" s="86" t="str">
        <v>Discriminant Analysis</v>
      </c>
      <c r="V40" s="86" t="str">
        <v/>
      </c>
      <c r="W40" s="86" t="str">
        <v/>
      </c>
      <c r="X40" s="86" t="str">
        <v/>
      </c>
      <c r="Y40" s="86" t="str">
        <v>Discriminant Analysis</v>
      </c>
      <c r="Z40" s="86" t="str">
        <v/>
      </c>
      <c r="AA40" s="86" t="str">
        <v/>
      </c>
      <c r="AB40" s="86" t="str">
        <v/>
      </c>
      <c r="AC40" s="86" t="str">
        <v/>
      </c>
      <c r="AD40" s="86" t="str">
        <v/>
      </c>
      <c r="AE40" s="86" t="str">
        <v/>
      </c>
      <c r="AF40" s="86" t="str">
        <v/>
      </c>
      <c r="AG40" s="86" t="str">
        <v/>
      </c>
      <c r="AH40" s="86" t="str">
        <v/>
      </c>
      <c r="AI40" s="87" t="str">
        <v>Discriminant Analysis</v>
      </c>
    </row>
    <row r="41" spans="3:40" ht="58" hidden="1" x14ac:dyDescent="0.35">
      <c r="C41" t="s">
        <v>181</v>
      </c>
      <c r="G41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I41" s="4"/>
      <c r="P41" s="88" t="str">
        <v/>
      </c>
      <c r="Q41" s="86" t="str">
        <v>Association Rules and Collaborative Filtering</v>
      </c>
      <c r="R41" s="86" t="str">
        <v/>
      </c>
      <c r="S41" s="86" t="str">
        <v/>
      </c>
      <c r="T41" s="86" t="str">
        <v>Association Rules and Collaborative Filtering</v>
      </c>
      <c r="U41" s="86" t="str">
        <v/>
      </c>
      <c r="V41" s="86" t="str">
        <v/>
      </c>
      <c r="W41" s="86" t="str">
        <v/>
      </c>
      <c r="X41" s="86" t="str">
        <v/>
      </c>
      <c r="Y41" s="86" t="str">
        <v/>
      </c>
      <c r="Z41" s="86" t="str">
        <v/>
      </c>
      <c r="AA41" s="86" t="str">
        <v/>
      </c>
      <c r="AB41" s="86" t="str">
        <v/>
      </c>
      <c r="AC41" s="86" t="str">
        <v/>
      </c>
      <c r="AD41" s="86" t="str">
        <v/>
      </c>
      <c r="AE41" s="86" t="str">
        <v/>
      </c>
      <c r="AF41" s="86" t="str">
        <v/>
      </c>
      <c r="AG41" s="86" t="str">
        <v/>
      </c>
      <c r="AH41" s="86" t="str">
        <v>Association Rules and Collaborative Filtering</v>
      </c>
      <c r="AI41" s="87" t="str">
        <v/>
      </c>
    </row>
    <row r="42" spans="3:40" ht="29" hidden="1" x14ac:dyDescent="0.35">
      <c r="C42" t="s">
        <v>182</v>
      </c>
      <c r="G42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I42" s="4"/>
      <c r="P42" s="88" t="str">
        <v/>
      </c>
      <c r="Q42" s="86" t="str">
        <v>Cluster Analysis</v>
      </c>
      <c r="R42" s="86" t="str">
        <v/>
      </c>
      <c r="S42" s="86" t="str">
        <v/>
      </c>
      <c r="T42" s="86" t="str">
        <v/>
      </c>
      <c r="U42" s="86" t="str">
        <v>Cluster Analysis</v>
      </c>
      <c r="V42" s="86" t="str">
        <v/>
      </c>
      <c r="W42" s="86" t="str">
        <v/>
      </c>
      <c r="X42" s="86" t="str">
        <v/>
      </c>
      <c r="Y42" s="86" t="str">
        <v/>
      </c>
      <c r="Z42" s="86" t="str">
        <v/>
      </c>
      <c r="AA42" s="86" t="str">
        <v/>
      </c>
      <c r="AB42" s="86" t="str">
        <v/>
      </c>
      <c r="AC42" s="86" t="str">
        <v/>
      </c>
      <c r="AD42" s="86" t="str">
        <v>Cluster Analysis</v>
      </c>
      <c r="AE42" s="86" t="str">
        <v/>
      </c>
      <c r="AF42" s="86" t="str">
        <v/>
      </c>
      <c r="AG42" s="86" t="str">
        <v/>
      </c>
      <c r="AH42" s="86" t="str">
        <v/>
      </c>
      <c r="AI42" s="87" t="str">
        <v>Cluster Analysis</v>
      </c>
    </row>
    <row r="43" spans="3:40" ht="29" hidden="1" x14ac:dyDescent="0.35">
      <c r="G43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J43" s="2"/>
      <c r="K43" s="2"/>
      <c r="P43" s="88" t="str">
        <v/>
      </c>
      <c r="Q43" s="86" t="str">
        <v>Time Series Analysis</v>
      </c>
      <c r="R43" s="86" t="str">
        <v>Time Series Analysis</v>
      </c>
      <c r="S43" s="86" t="str">
        <v/>
      </c>
      <c r="T43" s="86" t="str">
        <v/>
      </c>
      <c r="U43" s="86" t="str">
        <v/>
      </c>
      <c r="V43" s="86" t="str">
        <v/>
      </c>
      <c r="W43" s="86" t="str">
        <v/>
      </c>
      <c r="X43" s="86" t="str">
        <v/>
      </c>
      <c r="Y43" s="86" t="str">
        <v/>
      </c>
      <c r="Z43" s="86" t="str">
        <v/>
      </c>
      <c r="AA43" s="86" t="str">
        <v/>
      </c>
      <c r="AB43" s="86" t="str">
        <v>Time Series Analysis</v>
      </c>
      <c r="AC43" s="86" t="str">
        <v/>
      </c>
      <c r="AD43" s="86" t="str">
        <v>Time Series Analysis</v>
      </c>
      <c r="AE43" s="86" t="str">
        <v/>
      </c>
      <c r="AF43" s="86" t="str">
        <v>Time Series Analysis</v>
      </c>
      <c r="AG43" s="86" t="str">
        <v>Time Series Analysis</v>
      </c>
      <c r="AH43" s="86" t="str">
        <v/>
      </c>
      <c r="AI43" s="87" t="str">
        <v/>
      </c>
    </row>
    <row r="44" spans="3:40" hidden="1" x14ac:dyDescent="0.35">
      <c r="G44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J44" s="2"/>
      <c r="K44" s="2"/>
      <c r="P44" s="88" t="str">
        <v/>
      </c>
      <c r="Q44" s="86" t="str">
        <v>Measurement Systems, I/O, Physical Principles of Sensors</v>
      </c>
      <c r="R44" s="86" t="str">
        <v/>
      </c>
      <c r="S44" s="86" t="str">
        <v/>
      </c>
      <c r="T44" s="86" t="str">
        <v/>
      </c>
      <c r="U44" s="86" t="str">
        <v/>
      </c>
      <c r="V44" s="86" t="str">
        <v/>
      </c>
      <c r="W44" s="86" t="str">
        <v/>
      </c>
      <c r="X44" s="86" t="str">
        <v>Measurement Systems, I/O, Physical Principles of Sensors</v>
      </c>
      <c r="Y44" s="86" t="str">
        <v/>
      </c>
      <c r="Z44" s="86" t="str">
        <v/>
      </c>
      <c r="AA44" s="86" t="str">
        <v/>
      </c>
      <c r="AB44" s="86" t="str">
        <v/>
      </c>
      <c r="AC44" s="86" t="str">
        <v/>
      </c>
      <c r="AD44" s="86" t="str">
        <v/>
      </c>
      <c r="AE44" s="86" t="str">
        <v/>
      </c>
      <c r="AF44" s="86" t="str">
        <v/>
      </c>
      <c r="AG44" s="86" t="str">
        <v/>
      </c>
      <c r="AH44" s="86" t="str">
        <v/>
      </c>
      <c r="AI44" s="87" t="str">
        <v/>
      </c>
    </row>
    <row r="45" spans="3:40" ht="43.5" hidden="1" x14ac:dyDescent="0.35">
      <c r="G45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J45" s="9"/>
      <c r="K45" s="9"/>
      <c r="P45" s="88" t="str">
        <v/>
      </c>
      <c r="Q45" s="86" t="str">
        <v>Sensor Signal Processing</v>
      </c>
      <c r="R45" s="86" t="str">
        <v/>
      </c>
      <c r="S45" s="86" t="str">
        <v/>
      </c>
      <c r="T45" s="86" t="str">
        <v/>
      </c>
      <c r="U45" s="86" t="str">
        <v/>
      </c>
      <c r="V45" s="86" t="str">
        <v/>
      </c>
      <c r="W45" s="86" t="str">
        <v/>
      </c>
      <c r="X45" s="86" t="str">
        <v>Sensor Signal Processing</v>
      </c>
      <c r="Y45" s="86" t="str">
        <v/>
      </c>
      <c r="Z45" s="86" t="str">
        <v/>
      </c>
      <c r="AA45" s="86" t="str">
        <v/>
      </c>
      <c r="AB45" s="86" t="str">
        <v/>
      </c>
      <c r="AC45" s="86" t="str">
        <v/>
      </c>
      <c r="AD45" s="86" t="str">
        <v>Sensor Signal Processing</v>
      </c>
      <c r="AE45" s="86" t="str">
        <v/>
      </c>
      <c r="AF45" s="86" t="str">
        <v/>
      </c>
      <c r="AG45" s="86" t="str">
        <v>Sensor Signal Processing</v>
      </c>
      <c r="AH45" s="86" t="str">
        <v/>
      </c>
      <c r="AI45" s="87" t="str">
        <v/>
      </c>
    </row>
    <row r="46" spans="3:40" ht="43.5" hidden="1" x14ac:dyDescent="0.35">
      <c r="G46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J46" s="9"/>
      <c r="K46" s="9"/>
      <c r="P46" s="88" t="str">
        <v/>
      </c>
      <c r="Q46" s="86" t="str">
        <v>Feature Extraction &amp; Dimension Reduction</v>
      </c>
      <c r="R46" s="86" t="str">
        <v/>
      </c>
      <c r="S46" s="86" t="str">
        <v/>
      </c>
      <c r="T46" s="86" t="str">
        <v/>
      </c>
      <c r="U46" s="86" t="str">
        <v/>
      </c>
      <c r="V46" s="86" t="str">
        <v/>
      </c>
      <c r="W46" s="86" t="str">
        <v/>
      </c>
      <c r="X46" s="86" t="str">
        <v/>
      </c>
      <c r="Y46" s="86" t="str">
        <v>Feature Extraction &amp; Dimension Reduction</v>
      </c>
      <c r="Z46" s="86" t="str">
        <v/>
      </c>
      <c r="AA46" s="86" t="str">
        <v/>
      </c>
      <c r="AB46" s="86" t="str">
        <v>Feature Extraction &amp; Dimension Reduction</v>
      </c>
      <c r="AC46" s="86" t="str">
        <v/>
      </c>
      <c r="AD46" s="86" t="str">
        <v>Feature Extraction &amp; Dimension Reduction</v>
      </c>
      <c r="AE46" s="86" t="str">
        <v/>
      </c>
      <c r="AF46" s="86" t="str">
        <v/>
      </c>
      <c r="AG46" s="86" t="str">
        <v/>
      </c>
      <c r="AH46" s="86" t="str">
        <v/>
      </c>
      <c r="AI46" s="87" t="str">
        <v>Feature Extraction &amp; Dimension Reduction</v>
      </c>
    </row>
    <row r="47" spans="3:40" hidden="1" x14ac:dyDescent="0.35">
      <c r="G47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J47" s="9"/>
      <c r="K47" s="9"/>
      <c r="P47" s="88" t="str">
        <v/>
      </c>
      <c r="Q47" s="86" t="str">
        <v>Regression and Correlation</v>
      </c>
      <c r="R47" s="86" t="str">
        <v/>
      </c>
      <c r="S47" s="86" t="str">
        <v/>
      </c>
      <c r="T47" s="86" t="str">
        <v/>
      </c>
      <c r="U47" s="86" t="str">
        <v/>
      </c>
      <c r="V47" s="86" t="str">
        <v/>
      </c>
      <c r="W47" s="86" t="str">
        <v/>
      </c>
      <c r="X47" s="86" t="str">
        <v/>
      </c>
      <c r="Y47" s="86" t="str">
        <v/>
      </c>
      <c r="Z47" s="86" t="str">
        <v/>
      </c>
      <c r="AA47" s="86" t="str">
        <v/>
      </c>
      <c r="AB47" s="86" t="str">
        <v>Regression and Correlation</v>
      </c>
      <c r="AC47" s="86" t="str">
        <v/>
      </c>
      <c r="AD47" s="86" t="str">
        <v/>
      </c>
      <c r="AE47" s="86" t="str">
        <v/>
      </c>
      <c r="AF47" s="86" t="str">
        <v/>
      </c>
      <c r="AG47" s="86" t="str">
        <v/>
      </c>
      <c r="AH47" s="86" t="str">
        <v/>
      </c>
      <c r="AI47" s="87" t="str">
        <v/>
      </c>
    </row>
    <row r="48" spans="3:40" hidden="1" x14ac:dyDescent="0.35">
      <c r="G48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J48" s="9"/>
      <c r="K48" s="9"/>
      <c r="P48" s="88" t="str">
        <v/>
      </c>
      <c r="Q48" s="86" t="str">
        <v>Classification Methods with Application in Fault Diagnosis</v>
      </c>
      <c r="R48" s="86" t="str">
        <v>Classification Methods with Application in Fault Diagnosis</v>
      </c>
      <c r="S48" s="86" t="str">
        <v/>
      </c>
      <c r="T48" s="86" t="str">
        <v>Classification Methods with Application in Fault Diagnosis</v>
      </c>
      <c r="U48" s="86" t="str">
        <v>Classification Methods with Application in Fault Diagnosis</v>
      </c>
      <c r="V48" s="86" t="str">
        <v>Classification Methods with Application in Fault Diagnosis</v>
      </c>
      <c r="W48" s="86" t="str">
        <v/>
      </c>
      <c r="X48" s="86" t="str">
        <v/>
      </c>
      <c r="Y48" s="86" t="str">
        <v>Classification Methods with Application in Fault Diagnosis</v>
      </c>
      <c r="Z48" s="86" t="str">
        <v>Classification Methods with Application in Fault Diagnosis</v>
      </c>
      <c r="AA48" s="86" t="str">
        <v/>
      </c>
      <c r="AB48" s="86" t="str">
        <v>Classification Methods with Application in Fault Diagnosis</v>
      </c>
      <c r="AC48" s="86" t="str">
        <v>Classification Methods with Application in Fault Diagnosis</v>
      </c>
      <c r="AD48" s="86" t="str">
        <v>Classification Methods with Application in Fault Diagnosis</v>
      </c>
      <c r="AE48" s="86" t="str">
        <v/>
      </c>
      <c r="AF48" s="86" t="str">
        <v/>
      </c>
      <c r="AG48" s="86" t="str">
        <v/>
      </c>
      <c r="AH48" s="86" t="str">
        <v/>
      </c>
      <c r="AI48" s="87" t="str">
        <v/>
      </c>
    </row>
    <row r="49" spans="2:36" ht="29" hidden="1" x14ac:dyDescent="0.35">
      <c r="G49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J49" s="9"/>
      <c r="K49" s="9"/>
      <c r="P49" s="88" t="str">
        <v/>
      </c>
      <c r="Q49" s="86" t="str">
        <v>Clustering Methods with Applications in Process Monitoring</v>
      </c>
      <c r="R49" s="86" t="str">
        <v/>
      </c>
      <c r="S49" s="86" t="str">
        <v/>
      </c>
      <c r="T49" s="86" t="str">
        <v>Clustering Methods with Applications in Process Monitoring</v>
      </c>
      <c r="U49" s="86" t="str">
        <v>Clustering Methods with Applications in Process Monitoring</v>
      </c>
      <c r="V49" s="86" t="str">
        <v/>
      </c>
      <c r="W49" s="86" t="str">
        <v/>
      </c>
      <c r="X49" s="86" t="str">
        <v/>
      </c>
      <c r="Y49" s="86" t="str">
        <v>Clustering Methods with Applications in Process Monitoring</v>
      </c>
      <c r="Z49" s="86" t="str">
        <v/>
      </c>
      <c r="AA49" s="86" t="str">
        <v/>
      </c>
      <c r="AB49" s="86" t="str">
        <v/>
      </c>
      <c r="AC49" s="86" t="str">
        <v>Clustering Methods with Applications in Process Monitoring</v>
      </c>
      <c r="AD49" s="86" t="str">
        <v>Clustering Methods with Applications in Process Monitoring</v>
      </c>
      <c r="AE49" s="86" t="str">
        <v/>
      </c>
      <c r="AF49" s="86" t="str">
        <v/>
      </c>
      <c r="AG49" s="86" t="str">
        <v>Clustering Methods with Applications in Process Monitoring</v>
      </c>
      <c r="AH49" s="86" t="str">
        <v/>
      </c>
      <c r="AI49" s="87" t="str">
        <v/>
      </c>
    </row>
    <row r="50" spans="2:36" hidden="1" x14ac:dyDescent="0.35">
      <c r="G50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J50" s="9"/>
      <c r="K50" s="9"/>
      <c r="P50" s="88" t="str">
        <v/>
      </c>
      <c r="Q50" s="86" t="str">
        <v>Foundations</v>
      </c>
      <c r="R50" s="86" t="str">
        <v/>
      </c>
      <c r="S50" s="86" t="str">
        <v/>
      </c>
      <c r="T50" s="86" t="str">
        <v/>
      </c>
      <c r="U50" s="86" t="str">
        <v/>
      </c>
      <c r="V50" s="86" t="str">
        <v>Foundations</v>
      </c>
      <c r="W50" s="86" t="str">
        <v/>
      </c>
      <c r="X50" s="86" t="str">
        <v/>
      </c>
      <c r="Y50" s="86" t="str">
        <v/>
      </c>
      <c r="Z50" s="86" t="str">
        <v/>
      </c>
      <c r="AA50" s="86" t="str">
        <v>Foundations</v>
      </c>
      <c r="AB50" s="86" t="str">
        <v/>
      </c>
      <c r="AC50" s="86" t="str">
        <v/>
      </c>
      <c r="AD50" s="86" t="str">
        <v>Foundations</v>
      </c>
      <c r="AE50" s="86" t="str">
        <v/>
      </c>
      <c r="AF50" s="86" t="str">
        <v/>
      </c>
      <c r="AG50" s="86" t="str">
        <v/>
      </c>
      <c r="AH50" s="86" t="str">
        <v/>
      </c>
      <c r="AI50" s="87" t="str">
        <v/>
      </c>
    </row>
    <row r="51" spans="2:36" hidden="1" x14ac:dyDescent="0.35">
      <c r="G51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J51" s="9"/>
      <c r="K51" s="9"/>
      <c r="P51" s="88" t="str">
        <v>Graph</v>
      </c>
      <c r="Q51" s="86" t="str">
        <v>Graph</v>
      </c>
      <c r="R51" s="86" t="str">
        <v/>
      </c>
      <c r="S51" s="86" t="str">
        <v/>
      </c>
      <c r="T51" s="86" t="str">
        <v/>
      </c>
      <c r="U51" s="86" t="str">
        <v/>
      </c>
      <c r="V51" s="86" t="str">
        <v/>
      </c>
      <c r="W51" s="86" t="str">
        <v/>
      </c>
      <c r="X51" s="86" t="str">
        <v/>
      </c>
      <c r="Y51" s="86" t="str">
        <v/>
      </c>
      <c r="Z51" s="86" t="str">
        <v/>
      </c>
      <c r="AA51" s="86" t="str">
        <v/>
      </c>
      <c r="AB51" s="86" t="str">
        <v/>
      </c>
      <c r="AC51" s="86" t="str">
        <v/>
      </c>
      <c r="AD51" s="86" t="str">
        <v>Graph</v>
      </c>
      <c r="AE51" s="86" t="str">
        <v/>
      </c>
      <c r="AF51" s="86" t="str">
        <v/>
      </c>
      <c r="AG51" s="86" t="str">
        <v/>
      </c>
      <c r="AH51" s="86" t="str">
        <v/>
      </c>
      <c r="AI51" s="87" t="str">
        <v/>
      </c>
    </row>
    <row r="52" spans="2:36" ht="29" hidden="1" x14ac:dyDescent="0.35">
      <c r="G52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J52" s="9"/>
      <c r="K52" s="9"/>
      <c r="P52" s="88" t="str">
        <v>Greedy algorithm</v>
      </c>
      <c r="Q52" s="86" t="str">
        <v>Greedy algorithm</v>
      </c>
      <c r="R52" s="86" t="str">
        <v/>
      </c>
      <c r="S52" s="86" t="str">
        <v/>
      </c>
      <c r="T52" s="86" t="str">
        <v/>
      </c>
      <c r="U52" s="86" t="str">
        <v/>
      </c>
      <c r="V52" s="86" t="str">
        <v/>
      </c>
      <c r="W52" s="86" t="str">
        <v>Greedy algorithm</v>
      </c>
      <c r="X52" s="86" t="str">
        <v/>
      </c>
      <c r="Y52" s="86" t="str">
        <v/>
      </c>
      <c r="Z52" s="86" t="str">
        <v/>
      </c>
      <c r="AA52" s="86" t="str">
        <v/>
      </c>
      <c r="AB52" s="86" t="str">
        <v/>
      </c>
      <c r="AC52" s="86" t="str">
        <v/>
      </c>
      <c r="AD52" s="86" t="str">
        <v>Greedy algorithm</v>
      </c>
      <c r="AE52" s="86" t="str">
        <v/>
      </c>
      <c r="AF52" s="86" t="str">
        <v/>
      </c>
      <c r="AG52" s="86" t="str">
        <v/>
      </c>
      <c r="AH52" s="86" t="str">
        <v/>
      </c>
      <c r="AI52" s="87" t="str">
        <v/>
      </c>
    </row>
    <row r="53" spans="2:36" ht="29" hidden="1" x14ac:dyDescent="0.35">
      <c r="G53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J53" s="9"/>
      <c r="K53" s="9"/>
      <c r="P53" s="88" t="str">
        <v>Dynamic programming</v>
      </c>
      <c r="Q53" s="86" t="str">
        <v>Dynamic programming</v>
      </c>
      <c r="R53" s="86" t="str">
        <v/>
      </c>
      <c r="S53" s="86" t="str">
        <v/>
      </c>
      <c r="T53" s="86" t="str">
        <v/>
      </c>
      <c r="U53" s="86" t="str">
        <v/>
      </c>
      <c r="V53" s="86" t="str">
        <v/>
      </c>
      <c r="W53" s="86" t="str">
        <v>Dynamic programming</v>
      </c>
      <c r="X53" s="86" t="str">
        <v/>
      </c>
      <c r="Y53" s="86" t="str">
        <v/>
      </c>
      <c r="Z53" s="86" t="str">
        <v/>
      </c>
      <c r="AA53" s="86" t="str">
        <v/>
      </c>
      <c r="AB53" s="86" t="str">
        <v/>
      </c>
      <c r="AC53" s="86" t="str">
        <v/>
      </c>
      <c r="AD53" s="86" t="str">
        <v>Dynamic programming</v>
      </c>
      <c r="AE53" s="86" t="str">
        <v/>
      </c>
      <c r="AF53" s="86" t="str">
        <v/>
      </c>
      <c r="AG53" s="86" t="str">
        <v/>
      </c>
      <c r="AH53" s="86" t="str">
        <v/>
      </c>
      <c r="AI53" s="87" t="str">
        <v/>
      </c>
    </row>
    <row r="54" spans="2:36" ht="18.5" hidden="1" x14ac:dyDescent="0.45">
      <c r="B54" s="10"/>
      <c r="E54" s="56"/>
      <c r="F54" s="58"/>
      <c r="G54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I54" s="58"/>
      <c r="J54" s="9"/>
      <c r="K54" s="9"/>
      <c r="P54" s="88" t="str">
        <v>Network Flow</v>
      </c>
      <c r="Q54" s="86" t="str">
        <v>Network Flow</v>
      </c>
      <c r="R54" s="86" t="str">
        <v/>
      </c>
      <c r="S54" s="86" t="str">
        <v/>
      </c>
      <c r="T54" s="86" t="str">
        <v/>
      </c>
      <c r="U54" s="86" t="str">
        <v/>
      </c>
      <c r="V54" s="86" t="str">
        <v/>
      </c>
      <c r="W54" s="86" t="str">
        <v/>
      </c>
      <c r="X54" s="86" t="str">
        <v/>
      </c>
      <c r="Y54" s="86" t="str">
        <v/>
      </c>
      <c r="Z54" s="86" t="str">
        <v/>
      </c>
      <c r="AA54" s="86" t="str">
        <v>Network Flow</v>
      </c>
      <c r="AB54" s="86" t="str">
        <v/>
      </c>
      <c r="AC54" s="86" t="str">
        <v/>
      </c>
      <c r="AD54" s="86" t="str">
        <v>Network Flow</v>
      </c>
      <c r="AE54" s="86" t="str">
        <v>Network Flow</v>
      </c>
      <c r="AF54" s="86" t="str">
        <v/>
      </c>
      <c r="AG54" s="86" t="str">
        <v/>
      </c>
      <c r="AH54" s="86" t="str">
        <v/>
      </c>
      <c r="AI54" s="87" t="str">
        <v/>
      </c>
    </row>
    <row r="55" spans="2:36" ht="29.5" hidden="1" thickBot="1" x14ac:dyDescent="0.4">
      <c r="B55" s="6"/>
      <c r="C55" s="6"/>
      <c r="D55" s="6"/>
      <c r="E55" s="57"/>
      <c r="F55" s="57"/>
      <c r="G55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I55" s="57"/>
      <c r="J55" s="9"/>
      <c r="K55" s="9"/>
      <c r="P55" s="89" t="str">
        <v>Computational Intractability</v>
      </c>
      <c r="Q55" s="90" t="str">
        <v>Computational Intractability</v>
      </c>
      <c r="R55" s="90" t="str">
        <v/>
      </c>
      <c r="S55" s="90" t="str">
        <v/>
      </c>
      <c r="T55" s="90" t="str">
        <v/>
      </c>
      <c r="U55" s="90" t="str">
        <v/>
      </c>
      <c r="V55" s="90" t="str">
        <v/>
      </c>
      <c r="W55" s="90" t="str">
        <v/>
      </c>
      <c r="X55" s="90" t="str">
        <v/>
      </c>
      <c r="Y55" s="90" t="str">
        <v/>
      </c>
      <c r="Z55" s="90" t="str">
        <v/>
      </c>
      <c r="AA55" s="90" t="str">
        <v>Computational Intractability</v>
      </c>
      <c r="AB55" s="90" t="str">
        <v/>
      </c>
      <c r="AC55" s="90" t="str">
        <v/>
      </c>
      <c r="AD55" s="90" t="str">
        <v>Computational Intractability</v>
      </c>
      <c r="AE55" s="90" t="str">
        <v/>
      </c>
      <c r="AF55" s="90" t="str">
        <v/>
      </c>
      <c r="AG55" s="90" t="str">
        <v/>
      </c>
      <c r="AH55" s="90" t="str">
        <v/>
      </c>
      <c r="AI55" s="91" t="str">
        <v/>
      </c>
    </row>
    <row r="56" spans="2:36" hidden="1" x14ac:dyDescent="0.35">
      <c r="B56" s="2"/>
      <c r="C56" s="59"/>
      <c r="D56" s="4"/>
      <c r="E56" s="4"/>
      <c r="F56" s="4"/>
      <c r="G56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I56" s="4"/>
      <c r="J56" s="9"/>
      <c r="K56" s="9"/>
      <c r="P56" s="96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</row>
    <row r="57" spans="2:36" hidden="1" x14ac:dyDescent="0.35">
      <c r="B57" s="2"/>
      <c r="C57" s="59"/>
      <c r="D57" s="4"/>
      <c r="E57" s="4"/>
      <c r="F57" s="4"/>
      <c r="G57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I57" s="4"/>
      <c r="J57" s="9"/>
      <c r="K57" s="9"/>
      <c r="P57" s="97" t="str" cm="1">
        <f t="array" ref="P57:P86">IF(COUNTIF(P7:P23,P25),_xlfn.ANCHORARRAY(P26),"")</f>
        <v/>
      </c>
      <c r="Q57" s="97" t="str" cm="1">
        <f t="array" ref="Q57">IF(COUNTIF(Q7:Q23,Q25),_xlfn.ANCHORARRAY(Q26),"")</f>
        <v/>
      </c>
      <c r="R57" s="97" t="str" cm="1">
        <f t="array" ref="R57:R86">IF(COUNTIF(R7:R23,R25),_xlfn.ANCHORARRAY(R26),"")</f>
        <v>Overview of the Data Mining Process</v>
      </c>
      <c r="S57" s="97" t="str" cm="1">
        <f t="array" ref="S57:S86">IF(COUNTIF(S7:S23,S25),_xlfn.ANCHORARRAY(S26),"")</f>
        <v/>
      </c>
      <c r="T57" s="97" t="str" cm="1">
        <f t="array" ref="T57:T86">IF(COUNTIF(T7:T23,T25),_xlfn.ANCHORARRAY(T26),"")</f>
        <v>Overview of the Data Mining Process</v>
      </c>
      <c r="U57" s="97" t="str" cm="1">
        <f t="array" ref="U57:U86">IF(COUNTIF(U7:U23,U25),_xlfn.ANCHORARRAY(U26),"")</f>
        <v/>
      </c>
      <c r="V57" s="97" t="str" cm="1">
        <f t="array" ref="V57:V86">IF(COUNTIF(V7:V23,V25),_xlfn.ANCHORARRAY(V26),"")</f>
        <v/>
      </c>
      <c r="W57" s="97" t="str" cm="1">
        <f t="array" ref="W57:W86">IF(COUNTIF(W7:W23,W25),_xlfn.ANCHORARRAY(W26),"")</f>
        <v/>
      </c>
      <c r="X57" s="97" t="str" cm="1">
        <f t="array" ref="X57:X86">IF(COUNTIF(X7:X23,X25),_xlfn.ANCHORARRAY(X26),"")</f>
        <v/>
      </c>
      <c r="Y57" s="97" t="str" cm="1">
        <f t="array" ref="Y57:Y86">IF(COUNTIF(Y7:Y23,Y25),_xlfn.ANCHORARRAY(Y26),"")</f>
        <v/>
      </c>
      <c r="Z57" s="97" t="str" cm="1">
        <f t="array" ref="Z57:Z86">IF(COUNTIF(Z7:Z23,Z25),_xlfn.ANCHORARRAY(Z26),"")</f>
        <v/>
      </c>
      <c r="AA57" s="97" t="str" cm="1">
        <f t="array" ref="AA57:AA86">IF(COUNTIF(AA7:AA23,AA25),_xlfn.ANCHORARRAY(AA26),"")</f>
        <v/>
      </c>
      <c r="AB57" s="97" t="str" cm="1">
        <f t="array" ref="AB57:AB86">IF(COUNTIF(AB7:AB23,AB25),_xlfn.ANCHORARRAY(AB26),"")</f>
        <v/>
      </c>
      <c r="AC57" s="97" t="str" cm="1">
        <f t="array" ref="AC57:AC86">IF(COUNTIF(AC7:AC23,AC25),_xlfn.ANCHORARRAY(AC26),"")</f>
        <v/>
      </c>
      <c r="AD57" s="97" t="str" cm="1">
        <f t="array" ref="AD57:AD86">IF(COUNTIF(AD7:AD23,AD25),_xlfn.ANCHORARRAY(AD26),"")</f>
        <v>Overview of the Data Mining Process</v>
      </c>
      <c r="AE57" s="97" t="str" cm="1">
        <f t="array" ref="AE57:AE86">IF(COUNTIF(AE7:AE23,AE25),_xlfn.ANCHORARRAY(AE26),"")</f>
        <v/>
      </c>
      <c r="AF57" s="97" t="str" cm="1">
        <f t="array" ref="AF57:AF86">IF(COUNTIF(AF7:AF23,AF25),_xlfn.ANCHORARRAY(AF26),"")</f>
        <v>Overview of the Data Mining Process</v>
      </c>
      <c r="AG57" s="97" t="str" cm="1">
        <f t="array" ref="AG57:AG86">IF(COUNTIF(AG7:AG23,AG25),_xlfn.ANCHORARRAY(AG26),"")</f>
        <v/>
      </c>
      <c r="AH57" s="97" t="str" cm="1">
        <f t="array" ref="AH57">IF(COUNTIF(AH7:AH23,AH25),_xlfn.ANCHORARRAY(AH26),"")</f>
        <v/>
      </c>
      <c r="AI57" s="97" t="str" cm="1">
        <f t="array" ref="AI57:AI86">IF(COUNTIF(AI7:AI23,AI25),_xlfn.ANCHORARRAY(AI26),"")</f>
        <v>Overview of the Data Mining Process</v>
      </c>
    </row>
    <row r="58" spans="2:36" hidden="1" x14ac:dyDescent="0.35">
      <c r="B58" s="2"/>
      <c r="C58" s="59"/>
      <c r="D58" s="4"/>
      <c r="E58" s="4"/>
      <c r="F58" s="4"/>
      <c r="G58" s="18" t="str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/>
      </c>
      <c r="I58" s="4"/>
      <c r="J58" s="9"/>
      <c r="K58" s="9"/>
      <c r="P58" s="98" t="str">
        <v/>
      </c>
      <c r="Q58" s="99"/>
      <c r="R58" s="99" t="str">
        <v/>
      </c>
      <c r="S58" s="99" t="str">
        <v>Basic Data Visualization</v>
      </c>
      <c r="T58" s="99" t="str">
        <v>Basic Data Visualization</v>
      </c>
      <c r="U58" s="99" t="str">
        <v>Basic Data Visualization</v>
      </c>
      <c r="V58" s="99" t="str">
        <v/>
      </c>
      <c r="W58" s="99" t="str">
        <v/>
      </c>
      <c r="X58" s="99" t="str">
        <v/>
      </c>
      <c r="Y58" s="99" t="str">
        <v/>
      </c>
      <c r="Z58" s="99" t="str">
        <v/>
      </c>
      <c r="AA58" s="99" t="str">
        <v/>
      </c>
      <c r="AB58" s="99" t="str">
        <v>Basic Data Visualization</v>
      </c>
      <c r="AC58" s="99" t="str">
        <v/>
      </c>
      <c r="AD58" s="99" t="str">
        <v/>
      </c>
      <c r="AE58" s="100" t="str">
        <v/>
      </c>
      <c r="AF58" s="73" t="str">
        <v/>
      </c>
      <c r="AG58" s="73" t="str">
        <v/>
      </c>
      <c r="AH58" s="73"/>
      <c r="AI58" s="74" t="str">
        <v>Basic Data Visualization</v>
      </c>
    </row>
    <row r="59" spans="2:36" hidden="1" x14ac:dyDescent="0.35">
      <c r="B59" s="2"/>
      <c r="C59" s="9"/>
      <c r="D59" s="4"/>
      <c r="E59" s="4"/>
      <c r="F59" s="4"/>
      <c r="G59" s="18" t="e">
        <f>IF($E$7="Data Science",IF(Table23[[#This Row],[Data  Science]]=1,Table23[Skill / Domain Knowledge],""),IF($E$7="Automation",IF(Table23[[#This Row],[Automation]]=1,Table23[Skill / Domain Knowledge],""),IF($E$7="Cyber",IF(Table23[[#This Row],[Cyber]]=1,Table23[Skill / Domain Knowledge],""),IF($E$7="Sensor",IF(Table23[[#This Row],[Sensor]]=1,Table23[Skill / Domain Knowledge],""),NA()))))</f>
        <v>#VALUE!</v>
      </c>
      <c r="H59" s="9"/>
      <c r="I59" s="4"/>
      <c r="J59" s="9"/>
      <c r="K59" s="9"/>
      <c r="P59" s="98" t="str">
        <v/>
      </c>
      <c r="Q59" s="99"/>
      <c r="R59" s="99" t="str">
        <v/>
      </c>
      <c r="S59" s="99" t="str">
        <v>Advanced Data Visualization</v>
      </c>
      <c r="T59" s="99" t="str">
        <v>Advanced Data Visualization</v>
      </c>
      <c r="U59" s="99" t="str">
        <v/>
      </c>
      <c r="V59" s="99" t="str">
        <v/>
      </c>
      <c r="W59" s="99" t="str">
        <v/>
      </c>
      <c r="X59" s="99" t="str">
        <v/>
      </c>
      <c r="Y59" s="99" t="str">
        <v/>
      </c>
      <c r="Z59" s="99" t="str">
        <v/>
      </c>
      <c r="AA59" s="99" t="str">
        <v/>
      </c>
      <c r="AB59" s="99" t="str">
        <v/>
      </c>
      <c r="AC59" s="99" t="str">
        <v/>
      </c>
      <c r="AD59" s="99" t="str">
        <v/>
      </c>
      <c r="AE59" s="100" t="str">
        <v/>
      </c>
      <c r="AF59" s="73" t="str">
        <v/>
      </c>
      <c r="AG59" s="73" t="str">
        <v/>
      </c>
      <c r="AH59" s="73"/>
      <c r="AI59" s="74" t="str">
        <v>Advanced Data Visualization</v>
      </c>
    </row>
    <row r="60" spans="2:36" hidden="1" x14ac:dyDescent="0.35">
      <c r="B60" s="2"/>
      <c r="C60" s="9"/>
      <c r="D60" s="4"/>
      <c r="E60" s="4"/>
      <c r="F60" s="4"/>
      <c r="G60" s="95"/>
      <c r="H60" s="9"/>
      <c r="I60" s="4"/>
      <c r="J60" s="9"/>
      <c r="K60" s="9"/>
      <c r="P60" s="98" t="str">
        <v/>
      </c>
      <c r="Q60" s="99"/>
      <c r="R60" s="99" t="str">
        <v>Dimension Reduction</v>
      </c>
      <c r="S60" s="99" t="str">
        <v/>
      </c>
      <c r="T60" s="99" t="str">
        <v>Dimension Reduction</v>
      </c>
      <c r="U60" s="99" t="str">
        <v>Dimension Reduction</v>
      </c>
      <c r="V60" s="99" t="str">
        <v/>
      </c>
      <c r="W60" s="99" t="str">
        <v/>
      </c>
      <c r="X60" s="99" t="str">
        <v/>
      </c>
      <c r="Y60" s="99" t="str">
        <v/>
      </c>
      <c r="Z60" s="99" t="str">
        <v/>
      </c>
      <c r="AA60" s="99" t="str">
        <v/>
      </c>
      <c r="AB60" s="99" t="str">
        <v>Dimension Reduction</v>
      </c>
      <c r="AC60" s="99" t="str">
        <v/>
      </c>
      <c r="AD60" s="99" t="str">
        <v/>
      </c>
      <c r="AE60" s="100" t="str">
        <v/>
      </c>
      <c r="AF60" s="73" t="str">
        <v>Dimension Reduction</v>
      </c>
      <c r="AG60" s="73" t="str">
        <v/>
      </c>
      <c r="AH60" s="73"/>
      <c r="AI60" s="74" t="str">
        <v>Dimension Reduction</v>
      </c>
    </row>
    <row r="61" spans="2:36" hidden="1" x14ac:dyDescent="0.35">
      <c r="B61" s="2"/>
      <c r="C61" s="9"/>
      <c r="D61" s="4"/>
      <c r="E61" s="4"/>
      <c r="F61" s="4"/>
      <c r="G61" s="9"/>
      <c r="H61" s="9"/>
      <c r="I61" s="4"/>
      <c r="J61" s="9"/>
      <c r="K61" s="9"/>
      <c r="P61" s="98" t="str">
        <v/>
      </c>
      <c r="Q61" s="99"/>
      <c r="R61" s="99" t="str">
        <v>Measures and Metrics for Performance Evaluation</v>
      </c>
      <c r="S61" s="99" t="str">
        <v/>
      </c>
      <c r="T61" s="99" t="str">
        <v>Measures and Metrics for Performance Evaluation</v>
      </c>
      <c r="U61" s="99" t="str">
        <v/>
      </c>
      <c r="V61" s="99" t="str">
        <v/>
      </c>
      <c r="W61" s="99" t="str">
        <v/>
      </c>
      <c r="X61" s="99" t="str">
        <v/>
      </c>
      <c r="Y61" s="99" t="str">
        <v/>
      </c>
      <c r="Z61" s="99" t="str">
        <v>Measures and Metrics for Performance Evaluation</v>
      </c>
      <c r="AA61" s="99" t="str">
        <v/>
      </c>
      <c r="AB61" s="99" t="str">
        <v/>
      </c>
      <c r="AC61" s="99" t="str">
        <v/>
      </c>
      <c r="AD61" s="99" t="str">
        <v/>
      </c>
      <c r="AE61" s="100" t="str">
        <v/>
      </c>
      <c r="AF61" s="73" t="str">
        <v>Measures and Metrics for Performance Evaluation</v>
      </c>
      <c r="AG61" s="73" t="str">
        <v/>
      </c>
      <c r="AH61" s="73"/>
      <c r="AI61" s="74" t="str">
        <v/>
      </c>
    </row>
    <row r="62" spans="2:36" ht="15.5" hidden="1" x14ac:dyDescent="0.35">
      <c r="B62" s="2"/>
      <c r="C62" s="9"/>
      <c r="D62" s="4"/>
      <c r="E62" s="4"/>
      <c r="F62" s="4"/>
      <c r="G62" s="9"/>
      <c r="H62" s="9"/>
      <c r="I62" s="4"/>
      <c r="J62" s="9"/>
      <c r="K62" s="9"/>
      <c r="O62" s="79"/>
      <c r="P62" s="98" t="str">
        <v/>
      </c>
      <c r="Q62" s="99"/>
      <c r="R62" s="99" t="str">
        <v/>
      </c>
      <c r="S62" s="99" t="str">
        <v/>
      </c>
      <c r="T62" s="99" t="str">
        <v/>
      </c>
      <c r="U62" s="99" t="str">
        <v/>
      </c>
      <c r="V62" s="99" t="str">
        <v/>
      </c>
      <c r="W62" s="99" t="str">
        <v/>
      </c>
      <c r="X62" s="99" t="str">
        <v/>
      </c>
      <c r="Y62" s="99" t="str">
        <v/>
      </c>
      <c r="Z62" s="99" t="str">
        <v>Predictive and Classification Performance Evaluation Methods</v>
      </c>
      <c r="AA62" s="99" t="str">
        <v/>
      </c>
      <c r="AB62" s="99" t="str">
        <v/>
      </c>
      <c r="AC62" s="99" t="str">
        <v/>
      </c>
      <c r="AD62" s="99" t="str">
        <v/>
      </c>
      <c r="AE62" s="100" t="str">
        <v/>
      </c>
      <c r="AF62" s="73" t="str">
        <v>Predictive and Classification Performance Evaluation Methods</v>
      </c>
      <c r="AG62" s="73" t="str">
        <v/>
      </c>
      <c r="AH62" s="73"/>
      <c r="AI62" s="74" t="str">
        <v/>
      </c>
      <c r="AJ62" s="68"/>
    </row>
    <row r="63" spans="2:36" ht="15.5" hidden="1" x14ac:dyDescent="0.35">
      <c r="C63" s="9"/>
      <c r="D63" s="9"/>
      <c r="E63" s="4"/>
      <c r="F63" s="4"/>
      <c r="G63" s="9"/>
      <c r="H63" s="9"/>
      <c r="I63" s="4"/>
      <c r="J63" s="9"/>
      <c r="K63" s="9"/>
      <c r="O63" s="79"/>
      <c r="P63" s="98" t="str">
        <v/>
      </c>
      <c r="Q63" s="99"/>
      <c r="R63" s="99" t="str">
        <v>Multiple Linear Regression</v>
      </c>
      <c r="S63" s="99" t="str">
        <v/>
      </c>
      <c r="T63" s="99" t="str">
        <v/>
      </c>
      <c r="U63" s="99" t="str">
        <v/>
      </c>
      <c r="V63" s="99" t="str">
        <v/>
      </c>
      <c r="W63" s="99" t="str">
        <v/>
      </c>
      <c r="X63" s="99" t="str">
        <v/>
      </c>
      <c r="Y63" s="99" t="str">
        <v/>
      </c>
      <c r="Z63" s="99" t="str">
        <v/>
      </c>
      <c r="AA63" s="99" t="str">
        <v/>
      </c>
      <c r="AB63" s="99" t="str">
        <v>Multiple Linear Regression</v>
      </c>
      <c r="AC63" s="99" t="str">
        <v/>
      </c>
      <c r="AD63" s="99" t="str">
        <v/>
      </c>
      <c r="AE63" s="100" t="str">
        <v/>
      </c>
      <c r="AF63" s="73" t="str">
        <v>Multiple Linear Regression</v>
      </c>
      <c r="AG63" s="73" t="str">
        <v/>
      </c>
      <c r="AH63" s="73"/>
      <c r="AI63" s="74" t="str">
        <v>Multiple Linear Regression</v>
      </c>
    </row>
    <row r="64" spans="2:36" ht="15.5" hidden="1" x14ac:dyDescent="0.35">
      <c r="C64" s="9"/>
      <c r="D64" s="9"/>
      <c r="E64" s="4"/>
      <c r="F64" s="4"/>
      <c r="G64" s="9"/>
      <c r="H64" s="9"/>
      <c r="I64" s="4"/>
      <c r="J64" s="9"/>
      <c r="K64" s="9"/>
      <c r="O64" s="79"/>
      <c r="P64" s="98" t="str">
        <v/>
      </c>
      <c r="Q64" s="99"/>
      <c r="R64" s="99" t="str">
        <v>k-Nearest Neighbors</v>
      </c>
      <c r="S64" s="99" t="str">
        <v>k-Nearest Neighbors</v>
      </c>
      <c r="T64" s="99" t="str">
        <v>k-Nearest Neighbors</v>
      </c>
      <c r="U64" s="99" t="str">
        <v>k-Nearest Neighbors</v>
      </c>
      <c r="V64" s="99" t="str">
        <v/>
      </c>
      <c r="W64" s="99" t="str">
        <v/>
      </c>
      <c r="X64" s="99" t="str">
        <v/>
      </c>
      <c r="Y64" s="99" t="str">
        <v/>
      </c>
      <c r="Z64" s="99" t="str">
        <v>k-Nearest Neighbors</v>
      </c>
      <c r="AA64" s="99" t="str">
        <v/>
      </c>
      <c r="AB64" s="99" t="str">
        <v/>
      </c>
      <c r="AC64" s="99" t="str">
        <v/>
      </c>
      <c r="AD64" s="99" t="str">
        <v/>
      </c>
      <c r="AE64" s="100" t="str">
        <v/>
      </c>
      <c r="AF64" s="73" t="str">
        <v>k-Nearest Neighbors</v>
      </c>
      <c r="AG64" s="73" t="str">
        <v/>
      </c>
      <c r="AH64" s="73"/>
      <c r="AI64" s="74" t="str">
        <v>k-Nearest Neighbors</v>
      </c>
    </row>
    <row r="65" spans="3:35" ht="15.5" hidden="1" x14ac:dyDescent="0.35">
      <c r="C65" s="9"/>
      <c r="D65" s="9"/>
      <c r="E65" s="4"/>
      <c r="F65" s="4"/>
      <c r="G65" s="9"/>
      <c r="H65" s="9"/>
      <c r="I65" s="4"/>
      <c r="J65" s="9"/>
      <c r="K65" s="9"/>
      <c r="O65" s="79"/>
      <c r="P65" s="98" t="str">
        <v/>
      </c>
      <c r="Q65" s="99"/>
      <c r="R65" s="99" t="str">
        <v xml:space="preserve">The Naive Bayes Classifier </v>
      </c>
      <c r="S65" s="99" t="str">
        <v/>
      </c>
      <c r="T65" s="99" t="str">
        <v xml:space="preserve">The Naive Bayes Classifier </v>
      </c>
      <c r="U65" s="99" t="str">
        <v/>
      </c>
      <c r="V65" s="99" t="str">
        <v/>
      </c>
      <c r="W65" s="99" t="str">
        <v/>
      </c>
      <c r="X65" s="99" t="str">
        <v/>
      </c>
      <c r="Y65" s="99" t="str">
        <v xml:space="preserve">The Naive Bayes Classifier </v>
      </c>
      <c r="Z65" s="99" t="str">
        <v xml:space="preserve">The Naive Bayes Classifier </v>
      </c>
      <c r="AA65" s="99" t="str">
        <v/>
      </c>
      <c r="AB65" s="99" t="str">
        <v xml:space="preserve">The Naive Bayes Classifier </v>
      </c>
      <c r="AC65" s="99" t="str">
        <v/>
      </c>
      <c r="AD65" s="99" t="str">
        <v/>
      </c>
      <c r="AE65" s="100" t="str">
        <v/>
      </c>
      <c r="AF65" s="73" t="str">
        <v xml:space="preserve">The Naive Bayes Classifier </v>
      </c>
      <c r="AG65" s="73" t="str">
        <v/>
      </c>
      <c r="AH65" s="73"/>
      <c r="AI65" s="74" t="str">
        <v/>
      </c>
    </row>
    <row r="66" spans="3:35" ht="15.5" hidden="1" x14ac:dyDescent="0.35">
      <c r="C66" s="9"/>
      <c r="D66" s="9"/>
      <c r="E66" s="4"/>
      <c r="F66" s="4"/>
      <c r="G66" s="9"/>
      <c r="H66" s="9"/>
      <c r="I66" s="4"/>
      <c r="J66" s="9"/>
      <c r="K66" s="9"/>
      <c r="O66" s="79"/>
      <c r="P66" s="98" t="str">
        <v/>
      </c>
      <c r="Q66" s="99"/>
      <c r="R66" s="99" t="str">
        <v/>
      </c>
      <c r="S66" s="99" t="str">
        <v/>
      </c>
      <c r="T66" s="99" t="str">
        <v>Classification Trees</v>
      </c>
      <c r="U66" s="99" t="str">
        <v/>
      </c>
      <c r="V66" s="99" t="str">
        <v>Classification Trees</v>
      </c>
      <c r="W66" s="99" t="str">
        <v/>
      </c>
      <c r="X66" s="99" t="str">
        <v/>
      </c>
      <c r="Y66" s="99" t="str">
        <v>Classification Trees</v>
      </c>
      <c r="Z66" s="99" t="str">
        <v>Classification Trees</v>
      </c>
      <c r="AA66" s="99" t="str">
        <v/>
      </c>
      <c r="AB66" s="99" t="str">
        <v/>
      </c>
      <c r="AC66" s="99" t="str">
        <v/>
      </c>
      <c r="AD66" s="99" t="str">
        <v/>
      </c>
      <c r="AE66" s="100" t="str">
        <v/>
      </c>
      <c r="AF66" s="73" t="str">
        <v>Classification Trees</v>
      </c>
      <c r="AG66" s="73" t="str">
        <v/>
      </c>
      <c r="AH66" s="73"/>
      <c r="AI66" s="74" t="str">
        <v/>
      </c>
    </row>
    <row r="67" spans="3:35" ht="15.5" hidden="1" x14ac:dyDescent="0.35">
      <c r="C67" s="9"/>
      <c r="D67" s="9"/>
      <c r="E67" s="4"/>
      <c r="F67" s="4"/>
      <c r="G67" s="9"/>
      <c r="H67" s="9"/>
      <c r="I67" s="4"/>
      <c r="J67" s="9"/>
      <c r="K67" s="9"/>
      <c r="O67" s="79"/>
      <c r="P67" s="93" t="str">
        <v/>
      </c>
      <c r="Q67" s="96"/>
      <c r="R67" s="96" t="str">
        <v>Advanced Topics In Classification and Regression Trees</v>
      </c>
      <c r="S67" s="96" t="str">
        <v/>
      </c>
      <c r="T67" s="96" t="str">
        <v/>
      </c>
      <c r="U67" s="96" t="str">
        <v/>
      </c>
      <c r="V67" s="96" t="str">
        <v>Advanced Topics In Classification and Regression Trees</v>
      </c>
      <c r="W67" s="96" t="str">
        <v/>
      </c>
      <c r="X67" s="96" t="str">
        <v/>
      </c>
      <c r="Y67" s="96" t="str">
        <v/>
      </c>
      <c r="Z67" s="96" t="str">
        <v>Advanced Topics In Classification and Regression Trees</v>
      </c>
      <c r="AA67" s="96" t="str">
        <v/>
      </c>
      <c r="AB67" s="96" t="str">
        <v/>
      </c>
      <c r="AC67" s="96" t="str">
        <v/>
      </c>
      <c r="AD67" s="96" t="str">
        <v/>
      </c>
      <c r="AE67" s="73" t="str">
        <v/>
      </c>
      <c r="AF67" s="73" t="str">
        <v>Advanced Topics In Classification and Regression Trees</v>
      </c>
      <c r="AG67" s="73" t="str">
        <v/>
      </c>
      <c r="AH67" s="73"/>
      <c r="AI67" s="74" t="str">
        <v/>
      </c>
    </row>
    <row r="68" spans="3:35" ht="15.5" hidden="1" x14ac:dyDescent="0.35">
      <c r="C68" s="9"/>
      <c r="D68" s="9"/>
      <c r="E68" s="4"/>
      <c r="F68" s="4"/>
      <c r="G68" s="9"/>
      <c r="H68" s="9"/>
      <c r="I68" s="4"/>
      <c r="J68" s="9"/>
      <c r="K68" s="9"/>
      <c r="O68" s="79"/>
      <c r="P68" s="93" t="str">
        <v/>
      </c>
      <c r="Q68" s="96"/>
      <c r="R68" s="96" t="str">
        <v>Logistic Regression</v>
      </c>
      <c r="S68" s="96" t="str">
        <v/>
      </c>
      <c r="T68" s="96" t="str">
        <v/>
      </c>
      <c r="U68" s="96" t="str">
        <v/>
      </c>
      <c r="V68" s="96" t="str">
        <v/>
      </c>
      <c r="W68" s="96" t="str">
        <v/>
      </c>
      <c r="X68" s="96" t="str">
        <v/>
      </c>
      <c r="Y68" s="96" t="str">
        <v>Logistic Regression</v>
      </c>
      <c r="Z68" s="96" t="str">
        <v>Logistic Regression</v>
      </c>
      <c r="AA68" s="96" t="str">
        <v/>
      </c>
      <c r="AB68" s="96" t="str">
        <v>Logistic Regression</v>
      </c>
      <c r="AC68" s="96" t="str">
        <v>Logistic Regression</v>
      </c>
      <c r="AD68" s="96" t="str">
        <v/>
      </c>
      <c r="AE68" s="73" t="str">
        <v/>
      </c>
      <c r="AF68" s="73" t="str">
        <v>Logistic Regression</v>
      </c>
      <c r="AG68" s="73" t="str">
        <v/>
      </c>
      <c r="AH68" s="73"/>
      <c r="AI68" s="74" t="str">
        <v/>
      </c>
    </row>
    <row r="69" spans="3:35" ht="15.5" hidden="1" x14ac:dyDescent="0.35">
      <c r="C69" s="9"/>
      <c r="D69" s="9"/>
      <c r="E69" s="9"/>
      <c r="F69" s="4"/>
      <c r="G69" s="9"/>
      <c r="H69" s="9"/>
      <c r="I69" s="4"/>
      <c r="J69" s="9"/>
      <c r="K69" s="9"/>
      <c r="O69" s="79"/>
      <c r="P69" s="93" t="str">
        <v/>
      </c>
      <c r="Q69" s="96"/>
      <c r="R69" s="96" t="str">
        <v>Neural Nets</v>
      </c>
      <c r="S69" s="96" t="str">
        <v>Neural Nets</v>
      </c>
      <c r="T69" s="96" t="str">
        <v>Neural Nets</v>
      </c>
      <c r="U69" s="96" t="str">
        <v/>
      </c>
      <c r="V69" s="96" t="str">
        <v/>
      </c>
      <c r="W69" s="96" t="str">
        <v/>
      </c>
      <c r="X69" s="96" t="str">
        <v/>
      </c>
      <c r="Y69" s="96" t="str">
        <v>Neural Nets</v>
      </c>
      <c r="Z69" s="96" t="str">
        <v/>
      </c>
      <c r="AA69" s="96" t="str">
        <v/>
      </c>
      <c r="AB69" s="96" t="str">
        <v/>
      </c>
      <c r="AC69" s="96" t="str">
        <v>Neural Nets</v>
      </c>
      <c r="AD69" s="96" t="str">
        <v/>
      </c>
      <c r="AE69" s="73" t="str">
        <v/>
      </c>
      <c r="AF69" s="73" t="str">
        <v/>
      </c>
      <c r="AG69" s="73" t="str">
        <v/>
      </c>
      <c r="AH69" s="73"/>
      <c r="AI69" s="74" t="str">
        <v/>
      </c>
    </row>
    <row r="70" spans="3:35" ht="15.5" hidden="1" x14ac:dyDescent="0.35">
      <c r="C70" s="9"/>
      <c r="D70" s="9"/>
      <c r="E70" s="9"/>
      <c r="F70" s="4"/>
      <c r="G70" s="9"/>
      <c r="H70" s="9"/>
      <c r="I70" s="4"/>
      <c r="J70" s="9"/>
      <c r="K70" s="9"/>
      <c r="O70" s="79"/>
      <c r="P70" s="93" t="str">
        <v/>
      </c>
      <c r="Q70" s="96"/>
      <c r="R70" s="96" t="str">
        <v/>
      </c>
      <c r="S70" s="96" t="str">
        <v/>
      </c>
      <c r="T70" s="96" t="str">
        <v>Advanced Concepts of Neural Nets</v>
      </c>
      <c r="U70" s="96" t="str">
        <v/>
      </c>
      <c r="V70" s="96" t="str">
        <v/>
      </c>
      <c r="W70" s="96" t="str">
        <v/>
      </c>
      <c r="X70" s="96" t="str">
        <v/>
      </c>
      <c r="Y70" s="96" t="str">
        <v>Advanced Concepts of Neural Nets</v>
      </c>
      <c r="Z70" s="96" t="str">
        <v/>
      </c>
      <c r="AA70" s="96" t="str">
        <v/>
      </c>
      <c r="AB70" s="96" t="str">
        <v>Advanced Concepts of Neural Nets</v>
      </c>
      <c r="AC70" s="96" t="str">
        <v>Advanced Concepts of Neural Nets</v>
      </c>
      <c r="AD70" s="96" t="str">
        <v>Advanced Concepts of Neural Nets</v>
      </c>
      <c r="AE70" s="73" t="str">
        <v/>
      </c>
      <c r="AF70" s="73" t="str">
        <v>Advanced Concepts of Neural Nets</v>
      </c>
      <c r="AG70" s="73" t="str">
        <v/>
      </c>
      <c r="AH70" s="73"/>
      <c r="AI70" s="74" t="str">
        <v/>
      </c>
    </row>
    <row r="71" spans="3:35" ht="15.5" hidden="1" x14ac:dyDescent="0.35">
      <c r="C71" s="9"/>
      <c r="D71" s="9"/>
      <c r="E71" s="9"/>
      <c r="F71" s="4"/>
      <c r="G71" s="9"/>
      <c r="H71" s="9"/>
      <c r="I71" s="4"/>
      <c r="J71" s="9"/>
      <c r="K71" s="9"/>
      <c r="O71" s="79"/>
      <c r="P71" s="93" t="str">
        <v/>
      </c>
      <c r="Q71" s="96"/>
      <c r="R71" s="96" t="str">
        <v>Discriminant Analysis</v>
      </c>
      <c r="S71" s="96" t="str">
        <v/>
      </c>
      <c r="T71" s="96" t="str">
        <v/>
      </c>
      <c r="U71" s="96" t="str">
        <v>Discriminant Analysis</v>
      </c>
      <c r="V71" s="96" t="str">
        <v/>
      </c>
      <c r="W71" s="96" t="str">
        <v/>
      </c>
      <c r="X71" s="96" t="str">
        <v/>
      </c>
      <c r="Y71" s="96" t="str">
        <v>Discriminant Analysis</v>
      </c>
      <c r="Z71" s="96" t="str">
        <v/>
      </c>
      <c r="AA71" s="96" t="str">
        <v/>
      </c>
      <c r="AB71" s="96" t="str">
        <v/>
      </c>
      <c r="AC71" s="96" t="str">
        <v/>
      </c>
      <c r="AD71" s="96" t="str">
        <v/>
      </c>
      <c r="AE71" s="73" t="str">
        <v/>
      </c>
      <c r="AF71" s="73" t="str">
        <v/>
      </c>
      <c r="AG71" s="73" t="str">
        <v/>
      </c>
      <c r="AH71" s="73"/>
      <c r="AI71" s="74" t="str">
        <v>Discriminant Analysis</v>
      </c>
    </row>
    <row r="72" spans="3:35" ht="15.5" hidden="1" x14ac:dyDescent="0.35">
      <c r="C72" s="9"/>
      <c r="D72" s="9"/>
      <c r="E72" s="9"/>
      <c r="F72" s="4"/>
      <c r="G72" s="9"/>
      <c r="H72" s="9"/>
      <c r="I72" s="4"/>
      <c r="O72" s="79"/>
      <c r="P72" s="93" t="str">
        <v/>
      </c>
      <c r="Q72" s="96"/>
      <c r="R72" s="96" t="str">
        <v/>
      </c>
      <c r="S72" s="96" t="str">
        <v/>
      </c>
      <c r="T72" s="96" t="str">
        <v>Association Rules and Collaborative Filtering</v>
      </c>
      <c r="U72" s="96" t="str">
        <v/>
      </c>
      <c r="V72" s="96" t="str">
        <v/>
      </c>
      <c r="W72" s="96" t="str">
        <v/>
      </c>
      <c r="X72" s="96" t="str">
        <v/>
      </c>
      <c r="Y72" s="96" t="str">
        <v/>
      </c>
      <c r="Z72" s="96" t="str">
        <v/>
      </c>
      <c r="AA72" s="96" t="str">
        <v/>
      </c>
      <c r="AB72" s="96" t="str">
        <v/>
      </c>
      <c r="AC72" s="96" t="str">
        <v/>
      </c>
      <c r="AD72" s="96" t="str">
        <v/>
      </c>
      <c r="AE72" s="73" t="str">
        <v/>
      </c>
      <c r="AF72" s="73" t="str">
        <v/>
      </c>
      <c r="AG72" s="73" t="str">
        <v/>
      </c>
      <c r="AH72" s="73"/>
      <c r="AI72" s="74" t="str">
        <v/>
      </c>
    </row>
    <row r="73" spans="3:35" ht="15.5" hidden="1" x14ac:dyDescent="0.35">
      <c r="C73" s="9"/>
      <c r="D73" s="9"/>
      <c r="E73" s="9"/>
      <c r="F73" s="4"/>
      <c r="G73" s="9"/>
      <c r="H73" s="9"/>
      <c r="I73" s="9"/>
      <c r="O73" s="79"/>
      <c r="P73" s="93" t="str">
        <v/>
      </c>
      <c r="Q73" s="96"/>
      <c r="R73" s="96" t="str">
        <v/>
      </c>
      <c r="S73" s="96" t="str">
        <v/>
      </c>
      <c r="T73" s="96" t="str">
        <v/>
      </c>
      <c r="U73" s="96" t="str">
        <v>Cluster Analysis</v>
      </c>
      <c r="V73" s="96" t="str">
        <v/>
      </c>
      <c r="W73" s="96" t="str">
        <v/>
      </c>
      <c r="X73" s="96" t="str">
        <v/>
      </c>
      <c r="Y73" s="96" t="str">
        <v/>
      </c>
      <c r="Z73" s="96" t="str">
        <v/>
      </c>
      <c r="AA73" s="96" t="str">
        <v/>
      </c>
      <c r="AB73" s="96" t="str">
        <v/>
      </c>
      <c r="AC73" s="96" t="str">
        <v/>
      </c>
      <c r="AD73" s="96" t="str">
        <v>Cluster Analysis</v>
      </c>
      <c r="AE73" s="73" t="str">
        <v/>
      </c>
      <c r="AF73" s="73" t="str">
        <v/>
      </c>
      <c r="AG73" s="73" t="str">
        <v/>
      </c>
      <c r="AH73" s="73"/>
      <c r="AI73" s="74" t="str">
        <v>Cluster Analysis</v>
      </c>
    </row>
    <row r="74" spans="3:35" ht="15.5" hidden="1" x14ac:dyDescent="0.35">
      <c r="C74" s="9"/>
      <c r="D74" s="9"/>
      <c r="E74" s="9"/>
      <c r="F74" s="4"/>
      <c r="G74" s="9"/>
      <c r="H74" s="9"/>
      <c r="I74" s="9"/>
      <c r="O74" s="79"/>
      <c r="P74" s="93" t="str">
        <v/>
      </c>
      <c r="Q74" s="96"/>
      <c r="R74" s="96" t="str">
        <v>Time Series Analysis</v>
      </c>
      <c r="S74" s="96" t="str">
        <v/>
      </c>
      <c r="T74" s="96" t="str">
        <v/>
      </c>
      <c r="U74" s="96" t="str">
        <v/>
      </c>
      <c r="V74" s="96" t="str">
        <v/>
      </c>
      <c r="W74" s="96" t="str">
        <v/>
      </c>
      <c r="X74" s="96" t="str">
        <v/>
      </c>
      <c r="Y74" s="96" t="str">
        <v/>
      </c>
      <c r="Z74" s="96" t="str">
        <v/>
      </c>
      <c r="AA74" s="96" t="str">
        <v/>
      </c>
      <c r="AB74" s="96" t="str">
        <v>Time Series Analysis</v>
      </c>
      <c r="AC74" s="96" t="str">
        <v/>
      </c>
      <c r="AD74" s="96" t="str">
        <v>Time Series Analysis</v>
      </c>
      <c r="AE74" s="73" t="str">
        <v/>
      </c>
      <c r="AF74" s="73" t="str">
        <v>Time Series Analysis</v>
      </c>
      <c r="AG74" s="73" t="str">
        <v>Time Series Analysis</v>
      </c>
      <c r="AH74" s="73"/>
      <c r="AI74" s="74" t="str">
        <v/>
      </c>
    </row>
    <row r="75" spans="3:35" ht="15.5" hidden="1" x14ac:dyDescent="0.35">
      <c r="C75" s="9"/>
      <c r="D75" s="9"/>
      <c r="E75" s="9"/>
      <c r="F75" s="4"/>
      <c r="G75" s="9"/>
      <c r="H75" s="9"/>
      <c r="I75" s="9"/>
      <c r="O75" s="79"/>
      <c r="P75" s="93" t="str">
        <v/>
      </c>
      <c r="Q75" s="96"/>
      <c r="R75" s="96" t="str">
        <v/>
      </c>
      <c r="S75" s="96" t="str">
        <v/>
      </c>
      <c r="T75" s="96" t="str">
        <v/>
      </c>
      <c r="U75" s="96" t="str">
        <v/>
      </c>
      <c r="V75" s="96" t="str">
        <v/>
      </c>
      <c r="W75" s="96" t="str">
        <v/>
      </c>
      <c r="X75" s="96" t="str">
        <v>Measurement Systems, I/O, Physical Principles of Sensors</v>
      </c>
      <c r="Y75" s="96" t="str">
        <v/>
      </c>
      <c r="Z75" s="96" t="str">
        <v/>
      </c>
      <c r="AA75" s="96" t="str">
        <v/>
      </c>
      <c r="AB75" s="96" t="str">
        <v/>
      </c>
      <c r="AC75" s="96" t="str">
        <v/>
      </c>
      <c r="AD75" s="96" t="str">
        <v/>
      </c>
      <c r="AE75" s="73" t="str">
        <v/>
      </c>
      <c r="AF75" s="73" t="str">
        <v/>
      </c>
      <c r="AG75" s="73" t="str">
        <v/>
      </c>
      <c r="AH75" s="73"/>
      <c r="AI75" s="74" t="str">
        <v/>
      </c>
    </row>
    <row r="76" spans="3:35" ht="15.5" hidden="1" x14ac:dyDescent="0.35">
      <c r="C76" s="9"/>
      <c r="D76" s="9"/>
      <c r="E76" s="9"/>
      <c r="F76" s="4"/>
      <c r="G76" s="9"/>
      <c r="H76" s="9"/>
      <c r="I76" s="9"/>
      <c r="O76" s="79"/>
      <c r="P76" s="93" t="str">
        <v/>
      </c>
      <c r="Q76" s="96"/>
      <c r="R76" s="96" t="str">
        <v/>
      </c>
      <c r="S76" s="96" t="str">
        <v/>
      </c>
      <c r="T76" s="96" t="str">
        <v/>
      </c>
      <c r="U76" s="96" t="str">
        <v/>
      </c>
      <c r="V76" s="96" t="str">
        <v/>
      </c>
      <c r="W76" s="96" t="str">
        <v/>
      </c>
      <c r="X76" s="96" t="str">
        <v>Sensor Signal Processing</v>
      </c>
      <c r="Y76" s="96" t="str">
        <v/>
      </c>
      <c r="Z76" s="96" t="str">
        <v/>
      </c>
      <c r="AA76" s="96" t="str">
        <v/>
      </c>
      <c r="AB76" s="96" t="str">
        <v/>
      </c>
      <c r="AC76" s="96" t="str">
        <v/>
      </c>
      <c r="AD76" s="96" t="str">
        <v>Sensor Signal Processing</v>
      </c>
      <c r="AE76" s="73" t="str">
        <v/>
      </c>
      <c r="AF76" s="73" t="str">
        <v/>
      </c>
      <c r="AG76" s="73" t="str">
        <v>Sensor Signal Processing</v>
      </c>
      <c r="AH76" s="73"/>
      <c r="AI76" s="74" t="str">
        <v/>
      </c>
    </row>
    <row r="77" spans="3:35" ht="15.5" hidden="1" x14ac:dyDescent="0.35">
      <c r="C77" s="9"/>
      <c r="D77" s="9"/>
      <c r="E77" s="9"/>
      <c r="F77" s="4"/>
      <c r="G77" s="9"/>
      <c r="H77" s="9"/>
      <c r="I77" s="9"/>
      <c r="O77" s="79"/>
      <c r="P77" s="93" t="str">
        <v/>
      </c>
      <c r="Q77" s="96"/>
      <c r="R77" s="96" t="str">
        <v/>
      </c>
      <c r="S77" s="96" t="str">
        <v/>
      </c>
      <c r="T77" s="96" t="str">
        <v/>
      </c>
      <c r="U77" s="96" t="str">
        <v/>
      </c>
      <c r="V77" s="96" t="str">
        <v/>
      </c>
      <c r="W77" s="96" t="str">
        <v/>
      </c>
      <c r="X77" s="96" t="str">
        <v/>
      </c>
      <c r="Y77" s="96" t="str">
        <v>Feature Extraction &amp; Dimension Reduction</v>
      </c>
      <c r="Z77" s="96" t="str">
        <v/>
      </c>
      <c r="AA77" s="96" t="str">
        <v/>
      </c>
      <c r="AB77" s="96" t="str">
        <v>Feature Extraction &amp; Dimension Reduction</v>
      </c>
      <c r="AC77" s="96" t="str">
        <v/>
      </c>
      <c r="AD77" s="96" t="str">
        <v>Feature Extraction &amp; Dimension Reduction</v>
      </c>
      <c r="AE77" s="73" t="str">
        <v/>
      </c>
      <c r="AF77" s="73" t="str">
        <v/>
      </c>
      <c r="AG77" s="73" t="str">
        <v/>
      </c>
      <c r="AH77" s="73"/>
      <c r="AI77" s="74" t="str">
        <v>Feature Extraction &amp; Dimension Reduction</v>
      </c>
    </row>
    <row r="78" spans="3:35" ht="15.5" hidden="1" x14ac:dyDescent="0.35">
      <c r="C78" s="9"/>
      <c r="D78" s="9"/>
      <c r="E78" s="9"/>
      <c r="F78" s="4"/>
      <c r="G78" s="9"/>
      <c r="H78" s="9"/>
      <c r="I78" s="9"/>
      <c r="O78" s="79"/>
      <c r="P78" s="75" t="str">
        <v/>
      </c>
      <c r="Q78" s="73"/>
      <c r="R78" s="73" t="str">
        <v/>
      </c>
      <c r="S78" s="73" t="str">
        <v/>
      </c>
      <c r="T78" s="73" t="str">
        <v/>
      </c>
      <c r="U78" s="73" t="str">
        <v/>
      </c>
      <c r="V78" s="73" t="str">
        <v/>
      </c>
      <c r="W78" s="73" t="str">
        <v/>
      </c>
      <c r="X78" s="73" t="str">
        <v/>
      </c>
      <c r="Y78" s="73" t="str">
        <v/>
      </c>
      <c r="Z78" s="73" t="str">
        <v/>
      </c>
      <c r="AA78" s="73" t="str">
        <v/>
      </c>
      <c r="AB78" s="73" t="str">
        <v>Regression and Correlation</v>
      </c>
      <c r="AC78" s="73" t="str">
        <v/>
      </c>
      <c r="AD78" s="73" t="str">
        <v/>
      </c>
      <c r="AE78" s="73" t="str">
        <v/>
      </c>
      <c r="AF78" s="73" t="str">
        <v/>
      </c>
      <c r="AG78" s="73" t="str">
        <v/>
      </c>
      <c r="AH78" s="73"/>
      <c r="AI78" s="74" t="str">
        <v/>
      </c>
    </row>
    <row r="79" spans="3:35" ht="15.5" hidden="1" x14ac:dyDescent="0.35">
      <c r="C79" s="9"/>
      <c r="D79" s="9"/>
      <c r="E79" s="9"/>
      <c r="F79" s="4"/>
      <c r="G79" s="9"/>
      <c r="H79" s="9"/>
      <c r="I79" s="9"/>
      <c r="O79" s="79"/>
      <c r="P79" s="75" t="str">
        <v/>
      </c>
      <c r="Q79" s="73"/>
      <c r="R79" s="73" t="str">
        <v>Classification Methods with Application in Fault Diagnosis</v>
      </c>
      <c r="S79" s="73" t="str">
        <v/>
      </c>
      <c r="T79" s="73" t="str">
        <v>Classification Methods with Application in Fault Diagnosis</v>
      </c>
      <c r="U79" s="73" t="str">
        <v>Classification Methods with Application in Fault Diagnosis</v>
      </c>
      <c r="V79" s="73" t="str">
        <v>Classification Methods with Application in Fault Diagnosis</v>
      </c>
      <c r="W79" s="73" t="str">
        <v/>
      </c>
      <c r="X79" s="73" t="str">
        <v/>
      </c>
      <c r="Y79" s="73" t="str">
        <v>Classification Methods with Application in Fault Diagnosis</v>
      </c>
      <c r="Z79" s="73" t="str">
        <v>Classification Methods with Application in Fault Diagnosis</v>
      </c>
      <c r="AA79" s="73" t="str">
        <v/>
      </c>
      <c r="AB79" s="73" t="str">
        <v>Classification Methods with Application in Fault Diagnosis</v>
      </c>
      <c r="AC79" s="73" t="str">
        <v>Classification Methods with Application in Fault Diagnosis</v>
      </c>
      <c r="AD79" s="73" t="str">
        <v>Classification Methods with Application in Fault Diagnosis</v>
      </c>
      <c r="AE79" s="73" t="str">
        <v/>
      </c>
      <c r="AF79" s="73" t="str">
        <v/>
      </c>
      <c r="AG79" s="73" t="str">
        <v/>
      </c>
      <c r="AH79" s="73"/>
      <c r="AI79" s="74" t="str">
        <v/>
      </c>
    </row>
    <row r="80" spans="3:35" ht="15.5" hidden="1" x14ac:dyDescent="0.35">
      <c r="C80" s="9"/>
      <c r="D80" s="9"/>
      <c r="E80" s="9"/>
      <c r="F80" s="4"/>
      <c r="G80" s="9"/>
      <c r="H80" s="9"/>
      <c r="I80" s="9"/>
      <c r="O80" s="79"/>
      <c r="P80" s="75" t="str">
        <v/>
      </c>
      <c r="Q80" s="73"/>
      <c r="R80" s="73" t="str">
        <v/>
      </c>
      <c r="S80" s="73" t="str">
        <v/>
      </c>
      <c r="T80" s="73" t="str">
        <v>Clustering Methods with Applications in Process Monitoring</v>
      </c>
      <c r="U80" s="73" t="str">
        <v>Clustering Methods with Applications in Process Monitoring</v>
      </c>
      <c r="V80" s="73" t="str">
        <v/>
      </c>
      <c r="W80" s="73" t="str">
        <v/>
      </c>
      <c r="X80" s="73" t="str">
        <v/>
      </c>
      <c r="Y80" s="73" t="str">
        <v>Clustering Methods with Applications in Process Monitoring</v>
      </c>
      <c r="Z80" s="73" t="str">
        <v/>
      </c>
      <c r="AA80" s="73" t="str">
        <v/>
      </c>
      <c r="AB80" s="73" t="str">
        <v/>
      </c>
      <c r="AC80" s="73" t="str">
        <v>Clustering Methods with Applications in Process Monitoring</v>
      </c>
      <c r="AD80" s="73" t="str">
        <v>Clustering Methods with Applications in Process Monitoring</v>
      </c>
      <c r="AE80" s="73" t="str">
        <v/>
      </c>
      <c r="AF80" s="73" t="str">
        <v/>
      </c>
      <c r="AG80" s="73" t="str">
        <v>Clustering Methods with Applications in Process Monitoring</v>
      </c>
      <c r="AH80" s="73"/>
      <c r="AI80" s="74" t="str">
        <v/>
      </c>
    </row>
    <row r="81" spans="3:35" ht="15.5" hidden="1" x14ac:dyDescent="0.35">
      <c r="C81" s="9"/>
      <c r="D81" s="9"/>
      <c r="E81" s="9"/>
      <c r="F81" s="4"/>
      <c r="G81" s="9"/>
      <c r="H81" s="9"/>
      <c r="I81" s="9"/>
      <c r="O81" s="79"/>
      <c r="P81" s="75" t="str">
        <v/>
      </c>
      <c r="Q81" s="73"/>
      <c r="R81" s="73" t="str">
        <v/>
      </c>
      <c r="S81" s="73" t="str">
        <v/>
      </c>
      <c r="T81" s="73" t="str">
        <v/>
      </c>
      <c r="U81" s="73" t="str">
        <v/>
      </c>
      <c r="V81" s="73" t="str">
        <v>Foundations</v>
      </c>
      <c r="W81" s="73" t="str">
        <v/>
      </c>
      <c r="X81" s="73" t="str">
        <v/>
      </c>
      <c r="Y81" s="73" t="str">
        <v/>
      </c>
      <c r="Z81" s="73" t="str">
        <v/>
      </c>
      <c r="AA81" s="73" t="str">
        <v>Foundations</v>
      </c>
      <c r="AB81" s="73" t="str">
        <v/>
      </c>
      <c r="AC81" s="73" t="str">
        <v/>
      </c>
      <c r="AD81" s="73" t="str">
        <v>Foundations</v>
      </c>
      <c r="AE81" s="73" t="str">
        <v/>
      </c>
      <c r="AF81" s="73" t="str">
        <v/>
      </c>
      <c r="AG81" s="73" t="str">
        <v/>
      </c>
      <c r="AH81" s="73"/>
      <c r="AI81" s="74" t="str">
        <v/>
      </c>
    </row>
    <row r="82" spans="3:35" hidden="1" x14ac:dyDescent="0.35">
      <c r="C82" s="9"/>
      <c r="D82" s="9"/>
      <c r="E82" s="9"/>
      <c r="F82" s="4"/>
      <c r="G82" s="9"/>
      <c r="H82" s="9"/>
      <c r="I82" s="9"/>
      <c r="O82" s="80"/>
      <c r="P82" s="75" t="str">
        <v>Graph</v>
      </c>
      <c r="Q82" s="73"/>
      <c r="R82" s="73" t="str">
        <v/>
      </c>
      <c r="S82" s="73" t="str">
        <v/>
      </c>
      <c r="T82" s="73" t="str">
        <v/>
      </c>
      <c r="U82" s="73" t="str">
        <v/>
      </c>
      <c r="V82" s="73" t="str">
        <v/>
      </c>
      <c r="W82" s="73" t="str">
        <v/>
      </c>
      <c r="X82" s="73" t="str">
        <v/>
      </c>
      <c r="Y82" s="73" t="str">
        <v/>
      </c>
      <c r="Z82" s="73" t="str">
        <v/>
      </c>
      <c r="AA82" s="73" t="str">
        <v/>
      </c>
      <c r="AB82" s="73" t="str">
        <v/>
      </c>
      <c r="AC82" s="73" t="str">
        <v/>
      </c>
      <c r="AD82" s="73" t="str">
        <v>Graph</v>
      </c>
      <c r="AE82" s="73" t="str">
        <v/>
      </c>
      <c r="AF82" s="73" t="str">
        <v/>
      </c>
      <c r="AG82" s="73" t="str">
        <v/>
      </c>
      <c r="AH82" s="73"/>
      <c r="AI82" s="74" t="str">
        <v/>
      </c>
    </row>
    <row r="83" spans="3:35" hidden="1" x14ac:dyDescent="0.35">
      <c r="C83" s="9"/>
      <c r="D83" s="9"/>
      <c r="E83" s="9"/>
      <c r="F83" s="4"/>
      <c r="G83" s="9"/>
      <c r="H83" s="9"/>
      <c r="I83" s="9"/>
      <c r="O83" s="80"/>
      <c r="P83" s="75" t="str">
        <v>Greedy algorithm</v>
      </c>
      <c r="Q83" s="73"/>
      <c r="R83" s="73" t="str">
        <v/>
      </c>
      <c r="S83" s="73" t="str">
        <v/>
      </c>
      <c r="T83" s="73" t="str">
        <v/>
      </c>
      <c r="U83" s="73" t="str">
        <v/>
      </c>
      <c r="V83" s="73" t="str">
        <v/>
      </c>
      <c r="W83" s="73" t="str">
        <v>Greedy algorithm</v>
      </c>
      <c r="X83" s="73" t="str">
        <v/>
      </c>
      <c r="Y83" s="73" t="str">
        <v/>
      </c>
      <c r="Z83" s="73" t="str">
        <v/>
      </c>
      <c r="AA83" s="73" t="str">
        <v/>
      </c>
      <c r="AB83" s="73" t="str">
        <v/>
      </c>
      <c r="AC83" s="73" t="str">
        <v/>
      </c>
      <c r="AD83" s="73" t="str">
        <v>Greedy algorithm</v>
      </c>
      <c r="AE83" s="73" t="str">
        <v/>
      </c>
      <c r="AF83" s="73" t="str">
        <v/>
      </c>
      <c r="AG83" s="73" t="str">
        <v/>
      </c>
      <c r="AH83" s="73"/>
      <c r="AI83" s="74" t="str">
        <v/>
      </c>
    </row>
    <row r="84" spans="3:35" hidden="1" x14ac:dyDescent="0.35">
      <c r="C84" s="9"/>
      <c r="D84" s="9"/>
      <c r="E84" s="9"/>
      <c r="F84" s="4"/>
      <c r="G84" s="9"/>
      <c r="H84" s="9"/>
      <c r="I84" s="9"/>
      <c r="O84" s="80"/>
      <c r="P84" s="75" t="str">
        <v>Dynamic programming</v>
      </c>
      <c r="Q84" s="73"/>
      <c r="R84" s="73" t="str">
        <v/>
      </c>
      <c r="S84" s="73" t="str">
        <v/>
      </c>
      <c r="T84" s="73" t="str">
        <v/>
      </c>
      <c r="U84" s="73" t="str">
        <v/>
      </c>
      <c r="V84" s="73" t="str">
        <v/>
      </c>
      <c r="W84" s="73" t="str">
        <v>Dynamic programming</v>
      </c>
      <c r="X84" s="73" t="str">
        <v/>
      </c>
      <c r="Y84" s="73" t="str">
        <v/>
      </c>
      <c r="Z84" s="73" t="str">
        <v/>
      </c>
      <c r="AA84" s="73" t="str">
        <v/>
      </c>
      <c r="AB84" s="73" t="str">
        <v/>
      </c>
      <c r="AC84" s="73" t="str">
        <v/>
      </c>
      <c r="AD84" s="73" t="str">
        <v>Dynamic programming</v>
      </c>
      <c r="AE84" s="73" t="str">
        <v/>
      </c>
      <c r="AF84" s="73" t="str">
        <v/>
      </c>
      <c r="AG84" s="73" t="str">
        <v/>
      </c>
      <c r="AH84" s="73"/>
      <c r="AI84" s="74" t="str">
        <v/>
      </c>
    </row>
    <row r="85" spans="3:35" hidden="1" x14ac:dyDescent="0.35">
      <c r="C85" s="9"/>
      <c r="D85" s="9"/>
      <c r="E85" s="9"/>
      <c r="F85" s="4"/>
      <c r="G85" s="9"/>
      <c r="H85" s="9"/>
      <c r="I85" s="9"/>
      <c r="O85" s="80"/>
      <c r="P85" s="75" t="str">
        <v>Network Flow</v>
      </c>
      <c r="Q85" s="73"/>
      <c r="R85" s="73" t="str">
        <v/>
      </c>
      <c r="S85" s="73" t="str">
        <v/>
      </c>
      <c r="T85" s="73" t="str">
        <v/>
      </c>
      <c r="U85" s="73" t="str">
        <v/>
      </c>
      <c r="V85" s="73" t="str">
        <v/>
      </c>
      <c r="W85" s="73" t="str">
        <v/>
      </c>
      <c r="X85" s="73" t="str">
        <v/>
      </c>
      <c r="Y85" s="73" t="str">
        <v/>
      </c>
      <c r="Z85" s="73" t="str">
        <v/>
      </c>
      <c r="AA85" s="73" t="str">
        <v>Network Flow</v>
      </c>
      <c r="AB85" s="73" t="str">
        <v/>
      </c>
      <c r="AC85" s="73" t="str">
        <v/>
      </c>
      <c r="AD85" s="73" t="str">
        <v>Network Flow</v>
      </c>
      <c r="AE85" s="73" t="str">
        <v>Network Flow</v>
      </c>
      <c r="AF85" s="73" t="str">
        <v/>
      </c>
      <c r="AG85" s="73" t="str">
        <v/>
      </c>
      <c r="AH85" s="73"/>
      <c r="AI85" s="74" t="str">
        <v/>
      </c>
    </row>
    <row r="86" spans="3:35" ht="15" hidden="1" thickBot="1" x14ac:dyDescent="0.4">
      <c r="C86" s="9"/>
      <c r="D86" s="9"/>
      <c r="E86" s="9"/>
      <c r="F86" s="4"/>
      <c r="G86" s="9"/>
      <c r="H86" s="9"/>
      <c r="I86" s="9"/>
      <c r="O86" s="80"/>
      <c r="P86" s="76" t="str">
        <v>Computational Intractability</v>
      </c>
      <c r="Q86" s="77"/>
      <c r="R86" s="77" t="str">
        <v/>
      </c>
      <c r="S86" s="77" t="str">
        <v/>
      </c>
      <c r="T86" s="77" t="str">
        <v/>
      </c>
      <c r="U86" s="77" t="str">
        <v/>
      </c>
      <c r="V86" s="77" t="str">
        <v/>
      </c>
      <c r="W86" s="77" t="str">
        <v/>
      </c>
      <c r="X86" s="77" t="str">
        <v/>
      </c>
      <c r="Y86" s="77" t="str">
        <v/>
      </c>
      <c r="Z86" s="77" t="str">
        <v/>
      </c>
      <c r="AA86" s="77" t="str">
        <v>Computational Intractability</v>
      </c>
      <c r="AB86" s="77" t="str">
        <v/>
      </c>
      <c r="AC86" s="77" t="str">
        <v/>
      </c>
      <c r="AD86" s="77" t="str">
        <v>Computational Intractability</v>
      </c>
      <c r="AE86" s="77" t="str">
        <v/>
      </c>
      <c r="AF86" s="77" t="str">
        <v/>
      </c>
      <c r="AG86" s="77" t="str">
        <v/>
      </c>
      <c r="AH86" s="77"/>
      <c r="AI86" s="78" t="str">
        <v/>
      </c>
    </row>
    <row r="87" spans="3:35" hidden="1" x14ac:dyDescent="0.35">
      <c r="C87" s="9"/>
      <c r="D87" s="9"/>
      <c r="E87" s="9"/>
      <c r="F87" s="4"/>
      <c r="G87" s="9"/>
      <c r="H87" s="9"/>
      <c r="I87" s="9"/>
      <c r="O87" s="80"/>
    </row>
    <row r="88" spans="3:35" hidden="1" x14ac:dyDescent="0.35">
      <c r="E88" s="9"/>
      <c r="F88" s="4"/>
      <c r="G88" s="9"/>
      <c r="H88" s="9"/>
      <c r="I88" s="9"/>
      <c r="O88" s="80"/>
      <c r="P88" s="70" t="str" cm="1">
        <f t="array" ref="P88:P92">_xlfn._xlws.FILTER(_xlfn.ANCHORARRAY(P57),(_xlfn.ANCHORARRAY(P57)&lt;&gt;""))</f>
        <v>Graph</v>
      </c>
      <c r="Q88" s="71" t="e" cm="1" vm="1">
        <f t="array" ref="Q88">_xlfn._xlws.FILTER(_xlfn.ANCHORARRAY(Q57),(_xlfn.ANCHORARRAY(Q57)&lt;&gt;""))</f>
        <v>#VALUE!</v>
      </c>
      <c r="R88" s="71" t="str" cm="1">
        <f t="array" ref="R88:R99">_xlfn._xlws.FILTER(_xlfn.ANCHORARRAY(R57),(_xlfn.ANCHORARRAY(R57)&lt;&gt;""))</f>
        <v>Overview of the Data Mining Process</v>
      </c>
      <c r="S88" s="71" t="str" cm="1">
        <f t="array" ref="S88:S91">_xlfn._xlws.FILTER(_xlfn.ANCHORARRAY(S57),(_xlfn.ANCHORARRAY(S57)&lt;&gt;""))</f>
        <v>Basic Data Visualization</v>
      </c>
      <c r="T88" s="71" t="str" cm="1">
        <f t="array" ref="T88:T100">_xlfn._xlws.FILTER(_xlfn.ANCHORARRAY(T57),(_xlfn.ANCHORARRAY(T57)&lt;&gt;""))</f>
        <v>Overview of the Data Mining Process</v>
      </c>
      <c r="U88" s="71" t="str" cm="1">
        <f t="array" ref="U88:U94">_xlfn._xlws.FILTER(_xlfn.ANCHORARRAY(U57),(_xlfn.ANCHORARRAY(U57)&lt;&gt;""))</f>
        <v>Basic Data Visualization</v>
      </c>
      <c r="V88" s="71" t="str" cm="1">
        <f t="array" ref="V88:V91">_xlfn._xlws.FILTER(_xlfn.ANCHORARRAY(V57),(_xlfn.ANCHORARRAY(V57)&lt;&gt;""))</f>
        <v>Classification Trees</v>
      </c>
      <c r="W88" s="71" t="str" cm="1">
        <f t="array" ref="W88:W89">_xlfn._xlws.FILTER(_xlfn.ANCHORARRAY(W57),(_xlfn.ANCHORARRAY(W57)&lt;&gt;""))</f>
        <v>Greedy algorithm</v>
      </c>
      <c r="X88" s="71" t="str" cm="1">
        <f t="array" ref="X88:X89">_xlfn._xlws.FILTER(_xlfn.ANCHORARRAY(X57),(_xlfn.ANCHORARRAY(X57)&lt;&gt;""))</f>
        <v>Measurement Systems, I/O, Physical Principles of Sensors</v>
      </c>
      <c r="Y88" s="71" t="str" cm="1">
        <f t="array" ref="Y88:Y96">_xlfn._xlws.FILTER(_xlfn.ANCHORARRAY(Y57),(_xlfn.ANCHORARRAY(Y57)&lt;&gt;""))</f>
        <v xml:space="preserve">The Naive Bayes Classifier </v>
      </c>
      <c r="Z88" s="71" t="str" cm="1">
        <f t="array" ref="Z88:Z95">_xlfn._xlws.FILTER(_xlfn.ANCHORARRAY(Z57),(_xlfn.ANCHORARRAY(Z57)&lt;&gt;""))</f>
        <v>Measures and Metrics for Performance Evaluation</v>
      </c>
      <c r="AA88" s="71" t="str" cm="1">
        <f t="array" ref="AA88:AA90">_xlfn._xlws.FILTER(_xlfn.ANCHORARRAY(AA57),(_xlfn.ANCHORARRAY(AA57)&lt;&gt;""))</f>
        <v>Foundations</v>
      </c>
      <c r="AB88" s="71" t="str" cm="1">
        <f t="array" ref="AB88:AB97">_xlfn._xlws.FILTER(_xlfn.ANCHORARRAY(AB57),(_xlfn.ANCHORARRAY(AB57)&lt;&gt;""))</f>
        <v>Basic Data Visualization</v>
      </c>
      <c r="AC88" s="71" t="str" cm="1">
        <f t="array" ref="AC88:AC92">_xlfn._xlws.FILTER(_xlfn.ANCHORARRAY(AC57),(_xlfn.ANCHORARRAY(AC57)&lt;&gt;""))</f>
        <v>Logistic Regression</v>
      </c>
      <c r="AD88" s="71" t="str" cm="1">
        <f t="array" ref="AD88:AD101">_xlfn._xlws.FILTER(_xlfn.ANCHORARRAY(AD57),(_xlfn.ANCHORARRAY(AD57)&lt;&gt;""))</f>
        <v>Overview of the Data Mining Process</v>
      </c>
      <c r="AE88" s="71" t="str" cm="1">
        <f t="array" ref="AE88">_xlfn._xlws.FILTER(_xlfn.ANCHORARRAY(AE57),(_xlfn.ANCHORARRAY(AE57)&lt;&gt;""))</f>
        <v>Network Flow</v>
      </c>
      <c r="AF88" s="71" t="str" cm="1">
        <f t="array" ref="AF88:AF99">_xlfn._xlws.FILTER(_xlfn.ANCHORARRAY(AF57),(_xlfn.ANCHORARRAY(AF57)&lt;&gt;""))</f>
        <v>Overview of the Data Mining Process</v>
      </c>
      <c r="AG88" s="71" t="str" cm="1">
        <f t="array" ref="AG88:AG90">_xlfn._xlws.FILTER(_xlfn.ANCHORARRAY(AG57),(_xlfn.ANCHORARRAY(AG57)&lt;&gt;""))</f>
        <v>Time Series Analysis</v>
      </c>
      <c r="AH88" s="71" t="e" cm="1" vm="1">
        <f t="array" ref="AH88">_xlfn._xlws.FILTER(_xlfn.ANCHORARRAY(AH57),(_xlfn.ANCHORARRAY(AH57)&lt;&gt;""))</f>
        <v>#VALUE!</v>
      </c>
      <c r="AI88" s="72" t="str" cm="1">
        <f t="array" ref="AI88:AI96">_xlfn._xlws.FILTER(_xlfn.ANCHORARRAY(AI57),(_xlfn.ANCHORARRAY(AI57)&lt;&gt;""))</f>
        <v>Overview of the Data Mining Process</v>
      </c>
    </row>
    <row r="89" spans="3:35" hidden="1" x14ac:dyDescent="0.35">
      <c r="G89" s="9"/>
      <c r="H89" s="9"/>
      <c r="O89" s="80"/>
      <c r="P89" s="75" t="str">
        <v>Greedy algorithm</v>
      </c>
      <c r="Q89" s="73"/>
      <c r="R89" s="73" t="str">
        <v>Dimension Reduction</v>
      </c>
      <c r="S89" s="73" t="str">
        <v>Advanced Data Visualization</v>
      </c>
      <c r="T89" s="73" t="str">
        <v>Basic Data Visualization</v>
      </c>
      <c r="U89" s="73" t="str">
        <v>Dimension Reduction</v>
      </c>
      <c r="V89" s="73" t="str">
        <v>Advanced Topics In Classification and Regression Trees</v>
      </c>
      <c r="W89" s="73" t="str">
        <v>Dynamic programming</v>
      </c>
      <c r="X89" s="73" t="str">
        <v>Sensor Signal Processing</v>
      </c>
      <c r="Y89" s="73" t="str">
        <v>Classification Trees</v>
      </c>
      <c r="Z89" s="73" t="str">
        <v>Predictive and Classification Performance Evaluation Methods</v>
      </c>
      <c r="AA89" s="73" t="str">
        <v>Network Flow</v>
      </c>
      <c r="AB89" s="73" t="str">
        <v>Dimension Reduction</v>
      </c>
      <c r="AC89" s="73" t="str">
        <v>Neural Nets</v>
      </c>
      <c r="AD89" s="73" t="str">
        <v>Advanced Concepts of Neural Nets</v>
      </c>
      <c r="AE89" s="73"/>
      <c r="AF89" s="73" t="str">
        <v>Dimension Reduction</v>
      </c>
      <c r="AG89" s="73" t="str">
        <v>Sensor Signal Processing</v>
      </c>
      <c r="AH89" s="73"/>
      <c r="AI89" s="74" t="str">
        <v>Basic Data Visualization</v>
      </c>
    </row>
    <row r="90" spans="3:35" hidden="1" x14ac:dyDescent="0.35">
      <c r="O90" s="80"/>
      <c r="P90" s="75" t="str">
        <v>Dynamic programming</v>
      </c>
      <c r="Q90" s="73"/>
      <c r="R90" s="73" t="str">
        <v>Measures and Metrics for Performance Evaluation</v>
      </c>
      <c r="S90" s="73" t="str">
        <v>k-Nearest Neighbors</v>
      </c>
      <c r="T90" s="73" t="str">
        <v>Advanced Data Visualization</v>
      </c>
      <c r="U90" s="73" t="str">
        <v>k-Nearest Neighbors</v>
      </c>
      <c r="V90" s="73" t="str">
        <v>Classification Methods with Application in Fault Diagnosis</v>
      </c>
      <c r="W90" s="73"/>
      <c r="X90" s="73"/>
      <c r="Y90" s="73" t="str">
        <v>Logistic Regression</v>
      </c>
      <c r="Z90" s="73" t="str">
        <v>k-Nearest Neighbors</v>
      </c>
      <c r="AA90" s="73" t="str">
        <v>Computational Intractability</v>
      </c>
      <c r="AB90" s="73" t="str">
        <v>Multiple Linear Regression</v>
      </c>
      <c r="AC90" s="73" t="str">
        <v>Advanced Concepts of Neural Nets</v>
      </c>
      <c r="AD90" s="73" t="str">
        <v>Cluster Analysis</v>
      </c>
      <c r="AE90" s="73"/>
      <c r="AF90" s="73" t="str">
        <v>Measures and Metrics for Performance Evaluation</v>
      </c>
      <c r="AG90" s="73" t="str">
        <v>Clustering Methods with Applications in Process Monitoring</v>
      </c>
      <c r="AH90" s="73"/>
      <c r="AI90" s="74" t="str">
        <v>Advanced Data Visualization</v>
      </c>
    </row>
    <row r="91" spans="3:35" hidden="1" x14ac:dyDescent="0.35">
      <c r="O91" s="80"/>
      <c r="P91" s="75" t="str">
        <v>Network Flow</v>
      </c>
      <c r="Q91" s="73"/>
      <c r="R91" s="73" t="str">
        <v>Multiple Linear Regression</v>
      </c>
      <c r="S91" s="73" t="str">
        <v>Neural Nets</v>
      </c>
      <c r="T91" s="73" t="str">
        <v>Dimension Reduction</v>
      </c>
      <c r="U91" s="73" t="str">
        <v>Discriminant Analysis</v>
      </c>
      <c r="V91" s="73" t="str">
        <v>Foundations</v>
      </c>
      <c r="W91" s="73"/>
      <c r="X91" s="73"/>
      <c r="Y91" s="73" t="str">
        <v>Neural Nets</v>
      </c>
      <c r="Z91" s="73" t="str">
        <v xml:space="preserve">The Naive Bayes Classifier </v>
      </c>
      <c r="AA91" s="73"/>
      <c r="AB91" s="73" t="str">
        <v xml:space="preserve">The Naive Bayes Classifier </v>
      </c>
      <c r="AC91" s="73" t="str">
        <v>Classification Methods with Application in Fault Diagnosis</v>
      </c>
      <c r="AD91" s="73" t="str">
        <v>Time Series Analysis</v>
      </c>
      <c r="AE91" s="73"/>
      <c r="AF91" s="73" t="str">
        <v>Predictive and Classification Performance Evaluation Methods</v>
      </c>
      <c r="AG91" s="73"/>
      <c r="AH91" s="73"/>
      <c r="AI91" s="74" t="str">
        <v>Dimension Reduction</v>
      </c>
    </row>
    <row r="92" spans="3:35" hidden="1" x14ac:dyDescent="0.35">
      <c r="O92" s="80"/>
      <c r="P92" s="75" t="str">
        <v>Computational Intractability</v>
      </c>
      <c r="Q92" s="73"/>
      <c r="R92" s="73" t="str">
        <v>k-Nearest Neighbors</v>
      </c>
      <c r="S92" s="73"/>
      <c r="T92" s="73" t="str">
        <v>Measures and Metrics for Performance Evaluation</v>
      </c>
      <c r="U92" s="73" t="str">
        <v>Cluster Analysis</v>
      </c>
      <c r="V92" s="73"/>
      <c r="W92" s="73"/>
      <c r="X92" s="73"/>
      <c r="Y92" s="73" t="str">
        <v>Advanced Concepts of Neural Nets</v>
      </c>
      <c r="Z92" s="73" t="str">
        <v>Classification Trees</v>
      </c>
      <c r="AA92" s="73"/>
      <c r="AB92" s="73" t="str">
        <v>Logistic Regression</v>
      </c>
      <c r="AC92" s="73" t="str">
        <v>Clustering Methods with Applications in Process Monitoring</v>
      </c>
      <c r="AD92" s="73" t="str">
        <v>Sensor Signal Processing</v>
      </c>
      <c r="AE92" s="73"/>
      <c r="AF92" s="73" t="str">
        <v>Multiple Linear Regression</v>
      </c>
      <c r="AG92" s="73"/>
      <c r="AH92" s="73"/>
      <c r="AI92" s="74" t="str">
        <v>Multiple Linear Regression</v>
      </c>
    </row>
    <row r="93" spans="3:35" hidden="1" x14ac:dyDescent="0.35">
      <c r="O93" s="80"/>
      <c r="P93" s="75"/>
      <c r="Q93" s="73"/>
      <c r="R93" s="73" t="str">
        <v xml:space="preserve">The Naive Bayes Classifier </v>
      </c>
      <c r="S93" s="73"/>
      <c r="T93" s="73" t="str">
        <v>k-Nearest Neighbors</v>
      </c>
      <c r="U93" s="73" t="str">
        <v>Classification Methods with Application in Fault Diagnosis</v>
      </c>
      <c r="V93" s="73"/>
      <c r="W93" s="73"/>
      <c r="X93" s="73"/>
      <c r="Y93" s="73" t="str">
        <v>Discriminant Analysis</v>
      </c>
      <c r="Z93" s="73" t="str">
        <v>Advanced Topics In Classification and Regression Trees</v>
      </c>
      <c r="AA93" s="73"/>
      <c r="AB93" s="73" t="str">
        <v>Advanced Concepts of Neural Nets</v>
      </c>
      <c r="AC93" s="73"/>
      <c r="AD93" s="73" t="str">
        <v>Feature Extraction &amp; Dimension Reduction</v>
      </c>
      <c r="AE93" s="73"/>
      <c r="AF93" s="73" t="str">
        <v>k-Nearest Neighbors</v>
      </c>
      <c r="AG93" s="73"/>
      <c r="AH93" s="73"/>
      <c r="AI93" s="74" t="str">
        <v>k-Nearest Neighbors</v>
      </c>
    </row>
    <row r="94" spans="3:35" hidden="1" x14ac:dyDescent="0.35">
      <c r="O94" s="80"/>
      <c r="P94" s="75"/>
      <c r="Q94" s="73"/>
      <c r="R94" s="73" t="str">
        <v>Advanced Topics In Classification and Regression Trees</v>
      </c>
      <c r="S94" s="73"/>
      <c r="T94" s="73" t="str">
        <v xml:space="preserve">The Naive Bayes Classifier </v>
      </c>
      <c r="U94" s="73" t="str">
        <v>Clustering Methods with Applications in Process Monitoring</v>
      </c>
      <c r="V94" s="73"/>
      <c r="W94" s="73"/>
      <c r="X94" s="73"/>
      <c r="Y94" s="73" t="str">
        <v>Feature Extraction &amp; Dimension Reduction</v>
      </c>
      <c r="Z94" s="73" t="str">
        <v>Logistic Regression</v>
      </c>
      <c r="AA94" s="73"/>
      <c r="AB94" s="73" t="str">
        <v>Time Series Analysis</v>
      </c>
      <c r="AC94" s="73"/>
      <c r="AD94" s="73" t="str">
        <v>Classification Methods with Application in Fault Diagnosis</v>
      </c>
      <c r="AE94" s="73"/>
      <c r="AF94" s="73" t="str">
        <v xml:space="preserve">The Naive Bayes Classifier </v>
      </c>
      <c r="AG94" s="73"/>
      <c r="AH94" s="73"/>
      <c r="AI94" s="74" t="str">
        <v>Discriminant Analysis</v>
      </c>
    </row>
    <row r="95" spans="3:35" hidden="1" x14ac:dyDescent="0.35">
      <c r="O95" s="80"/>
      <c r="P95" s="75"/>
      <c r="Q95" s="73"/>
      <c r="R95" s="73" t="str">
        <v>Logistic Regression</v>
      </c>
      <c r="S95" s="73"/>
      <c r="T95" s="73" t="str">
        <v>Classification Trees</v>
      </c>
      <c r="U95" s="73"/>
      <c r="V95" s="73"/>
      <c r="W95" s="73"/>
      <c r="X95" s="73"/>
      <c r="Y95" s="73" t="str">
        <v>Classification Methods with Application in Fault Diagnosis</v>
      </c>
      <c r="Z95" s="73" t="str">
        <v>Classification Methods with Application in Fault Diagnosis</v>
      </c>
      <c r="AA95" s="73"/>
      <c r="AB95" s="73" t="str">
        <v>Feature Extraction &amp; Dimension Reduction</v>
      </c>
      <c r="AC95" s="73"/>
      <c r="AD95" s="73" t="str">
        <v>Clustering Methods with Applications in Process Monitoring</v>
      </c>
      <c r="AE95" s="73"/>
      <c r="AF95" s="73" t="str">
        <v>Classification Trees</v>
      </c>
      <c r="AG95" s="73"/>
      <c r="AH95" s="73"/>
      <c r="AI95" s="74" t="str">
        <v>Cluster Analysis</v>
      </c>
    </row>
    <row r="96" spans="3:35" hidden="1" x14ac:dyDescent="0.35">
      <c r="O96" s="80"/>
      <c r="P96" s="75"/>
      <c r="Q96" s="73"/>
      <c r="R96" s="73" t="str">
        <v>Neural Nets</v>
      </c>
      <c r="S96" s="73"/>
      <c r="T96" s="73" t="str">
        <v>Neural Nets</v>
      </c>
      <c r="U96" s="73"/>
      <c r="V96" s="73"/>
      <c r="W96" s="73"/>
      <c r="X96" s="73"/>
      <c r="Y96" s="73" t="str">
        <v>Clustering Methods with Applications in Process Monitoring</v>
      </c>
      <c r="Z96" s="73"/>
      <c r="AA96" s="73"/>
      <c r="AB96" s="73" t="str">
        <v>Regression and Correlation</v>
      </c>
      <c r="AC96" s="73"/>
      <c r="AD96" s="73" t="str">
        <v>Foundations</v>
      </c>
      <c r="AE96" s="73"/>
      <c r="AF96" s="73" t="str">
        <v>Advanced Topics In Classification and Regression Trees</v>
      </c>
      <c r="AG96" s="73"/>
      <c r="AH96" s="73"/>
      <c r="AI96" s="74" t="str">
        <v>Feature Extraction &amp; Dimension Reduction</v>
      </c>
    </row>
    <row r="97" spans="15:35" hidden="1" x14ac:dyDescent="0.35">
      <c r="O97" s="80"/>
      <c r="P97" s="75"/>
      <c r="Q97" s="73"/>
      <c r="R97" s="73" t="str">
        <v>Discriminant Analysis</v>
      </c>
      <c r="S97" s="73"/>
      <c r="T97" s="73" t="str">
        <v>Advanced Concepts of Neural Nets</v>
      </c>
      <c r="U97" s="73"/>
      <c r="V97" s="73"/>
      <c r="W97" s="73"/>
      <c r="X97" s="73"/>
      <c r="Y97" s="73"/>
      <c r="Z97" s="73"/>
      <c r="AA97" s="73"/>
      <c r="AB97" s="73" t="str">
        <v>Classification Methods with Application in Fault Diagnosis</v>
      </c>
      <c r="AC97" s="73"/>
      <c r="AD97" s="73" t="str">
        <v>Graph</v>
      </c>
      <c r="AE97" s="73"/>
      <c r="AF97" s="73" t="str">
        <v>Logistic Regression</v>
      </c>
      <c r="AG97" s="73"/>
      <c r="AH97" s="73"/>
      <c r="AI97" s="74"/>
    </row>
    <row r="98" spans="15:35" hidden="1" x14ac:dyDescent="0.35">
      <c r="O98" s="80"/>
      <c r="P98" s="75"/>
      <c r="Q98" s="73"/>
      <c r="R98" s="73" t="str">
        <v>Time Series Analysis</v>
      </c>
      <c r="S98" s="73"/>
      <c r="T98" s="73" t="str">
        <v>Association Rules and Collaborative Filtering</v>
      </c>
      <c r="U98" s="73"/>
      <c r="V98" s="73"/>
      <c r="W98" s="73"/>
      <c r="X98" s="73"/>
      <c r="Y98" s="73"/>
      <c r="Z98" s="73"/>
      <c r="AA98" s="73"/>
      <c r="AB98" s="73"/>
      <c r="AC98" s="73"/>
      <c r="AD98" s="73" t="str">
        <v>Greedy algorithm</v>
      </c>
      <c r="AE98" s="73"/>
      <c r="AF98" s="73" t="str">
        <v>Advanced Concepts of Neural Nets</v>
      </c>
      <c r="AG98" s="73"/>
      <c r="AH98" s="73"/>
      <c r="AI98" s="74"/>
    </row>
    <row r="99" spans="15:35" hidden="1" x14ac:dyDescent="0.35">
      <c r="O99" s="80"/>
      <c r="P99" s="75"/>
      <c r="Q99" s="73"/>
      <c r="R99" s="73" t="str">
        <v>Classification Methods with Application in Fault Diagnosis</v>
      </c>
      <c r="S99" s="73"/>
      <c r="T99" s="73" t="str">
        <v>Classification Methods with Application in Fault Diagnosis</v>
      </c>
      <c r="U99" s="73"/>
      <c r="V99" s="73"/>
      <c r="W99" s="73"/>
      <c r="X99" s="73"/>
      <c r="Y99" s="73"/>
      <c r="Z99" s="73"/>
      <c r="AA99" s="73"/>
      <c r="AB99" s="73"/>
      <c r="AC99" s="73"/>
      <c r="AD99" s="73" t="str">
        <v>Dynamic programming</v>
      </c>
      <c r="AE99" s="73"/>
      <c r="AF99" s="73" t="str">
        <v>Time Series Analysis</v>
      </c>
      <c r="AG99" s="73"/>
      <c r="AH99" s="73"/>
      <c r="AI99" s="74"/>
    </row>
    <row r="100" spans="15:35" hidden="1" x14ac:dyDescent="0.35">
      <c r="O100" s="80"/>
      <c r="P100" s="75"/>
      <c r="Q100" s="73"/>
      <c r="R100" s="73"/>
      <c r="S100" s="73"/>
      <c r="T100" s="73" t="str">
        <v>Clustering Methods with Applications in Process Monitoring</v>
      </c>
      <c r="U100" s="73"/>
      <c r="V100" s="73"/>
      <c r="W100" s="73"/>
      <c r="X100" s="73"/>
      <c r="Y100" s="73"/>
      <c r="Z100" s="73"/>
      <c r="AA100" s="73"/>
      <c r="AB100" s="73"/>
      <c r="AC100" s="73"/>
      <c r="AD100" s="73" t="str">
        <v>Network Flow</v>
      </c>
      <c r="AE100" s="73"/>
      <c r="AF100" s="73"/>
      <c r="AG100" s="73"/>
      <c r="AH100" s="73"/>
      <c r="AI100" s="74"/>
    </row>
    <row r="101" spans="15:35" hidden="1" x14ac:dyDescent="0.35">
      <c r="O101" s="80"/>
      <c r="P101" s="75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 t="str">
        <v>Computational Intractability</v>
      </c>
      <c r="AE101" s="73"/>
      <c r="AF101" s="73"/>
      <c r="AG101" s="73"/>
      <c r="AH101" s="73"/>
      <c r="AI101" s="74"/>
    </row>
    <row r="102" spans="15:35" hidden="1" x14ac:dyDescent="0.35">
      <c r="O102" s="80"/>
      <c r="P102" s="75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4"/>
    </row>
    <row r="103" spans="15:35" hidden="1" x14ac:dyDescent="0.35">
      <c r="O103" s="80"/>
      <c r="P103" s="75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4"/>
    </row>
    <row r="104" spans="15:35" hidden="1" x14ac:dyDescent="0.35">
      <c r="P104" s="75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4"/>
    </row>
    <row r="105" spans="15:35" hidden="1" x14ac:dyDescent="0.35">
      <c r="P105" s="75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4"/>
    </row>
    <row r="106" spans="15:35" hidden="1" x14ac:dyDescent="0.35">
      <c r="P106" s="75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4"/>
    </row>
    <row r="107" spans="15:35" hidden="1" x14ac:dyDescent="0.35">
      <c r="P107" s="75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4"/>
    </row>
    <row r="108" spans="15:35" hidden="1" x14ac:dyDescent="0.35">
      <c r="P108" s="75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4"/>
    </row>
    <row r="109" spans="15:35" hidden="1" x14ac:dyDescent="0.35">
      <c r="P109" s="75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4"/>
    </row>
    <row r="110" spans="15:35" hidden="1" x14ac:dyDescent="0.35">
      <c r="P110" s="75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4"/>
    </row>
    <row r="111" spans="15:35" hidden="1" x14ac:dyDescent="0.35">
      <c r="P111" s="75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4"/>
    </row>
    <row r="112" spans="15:35" hidden="1" x14ac:dyDescent="0.35">
      <c r="P112" s="75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4"/>
    </row>
    <row r="113" spans="16:35" hidden="1" x14ac:dyDescent="0.35">
      <c r="P113" s="75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4"/>
    </row>
    <row r="114" spans="16:35" hidden="1" x14ac:dyDescent="0.35">
      <c r="P114" s="75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4"/>
    </row>
    <row r="115" spans="16:35" hidden="1" x14ac:dyDescent="0.35">
      <c r="P115" s="75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4"/>
    </row>
    <row r="116" spans="16:35" hidden="1" x14ac:dyDescent="0.35">
      <c r="P116" s="75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4"/>
    </row>
    <row r="117" spans="16:35" ht="15" hidden="1" thickBot="1" x14ac:dyDescent="0.4">
      <c r="P117" s="76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8"/>
    </row>
    <row r="118" spans="16:35" hidden="1" x14ac:dyDescent="0.35"/>
    <row r="119" spans="16:35" hidden="1" x14ac:dyDescent="0.35"/>
  </sheetData>
  <mergeCells count="2">
    <mergeCell ref="M6:N6"/>
    <mergeCell ref="B10:E11"/>
  </mergeCells>
  <conditionalFormatting sqref="AN8">
    <cfRule type="expression" dxfId="66" priority="36">
      <formula>COUNTIF($P$88:$AI$117,AN8)&gt;0</formula>
    </cfRule>
  </conditionalFormatting>
  <conditionalFormatting sqref="AN9">
    <cfRule type="expression" dxfId="65" priority="35">
      <formula>COUNTIF($P$88:$AI$117,AN9)&gt;0</formula>
    </cfRule>
  </conditionalFormatting>
  <conditionalFormatting sqref="AN10">
    <cfRule type="expression" dxfId="64" priority="34">
      <formula>COUNTIF($P$88:$AI$117,AN10)&gt;0</formula>
    </cfRule>
  </conditionalFormatting>
  <conditionalFormatting sqref="AN16">
    <cfRule type="expression" dxfId="63" priority="33">
      <formula>COUNTIF($P$88:$AI$117,AN16)&gt;0</formula>
    </cfRule>
  </conditionalFormatting>
  <conditionalFormatting sqref="AN17">
    <cfRule type="expression" dxfId="62" priority="32">
      <formula>COUNTIF($P$88:$AI$117,AN17)&gt;0</formula>
    </cfRule>
  </conditionalFormatting>
  <conditionalFormatting sqref="AN18">
    <cfRule type="expression" dxfId="61" priority="31">
      <formula>COUNTIF($P$88:$AI$117,AN18)&gt;0</formula>
    </cfRule>
  </conditionalFormatting>
  <conditionalFormatting sqref="AN19">
    <cfRule type="expression" dxfId="60" priority="30">
      <formula>COUNTIF($P$88:$AI$117,AN19)&gt;0</formula>
    </cfRule>
  </conditionalFormatting>
  <conditionalFormatting sqref="AN20">
    <cfRule type="expression" dxfId="59" priority="29">
      <formula>COUNTIF($P$88:$AI$117,AN20)&gt;0</formula>
    </cfRule>
  </conditionalFormatting>
  <conditionalFormatting sqref="AN21">
    <cfRule type="expression" dxfId="58" priority="28">
      <formula>COUNTIF($P$88:$AI$117,AN21)&gt;0</formula>
    </cfRule>
  </conditionalFormatting>
  <conditionalFormatting sqref="AN22">
    <cfRule type="expression" dxfId="57" priority="27">
      <formula>COUNTIF($P$88:$AI$117,AN22)&gt;0</formula>
    </cfRule>
  </conditionalFormatting>
  <conditionalFormatting sqref="AN23">
    <cfRule type="expression" dxfId="56" priority="26">
      <formula>COUNTIF($P$88:$AI$117,AN23)&gt;0</formula>
    </cfRule>
  </conditionalFormatting>
  <conditionalFormatting sqref="AP7">
    <cfRule type="expression" dxfId="55" priority="25">
      <formula>COUNTIF($P$88:$AI$117,AP7)&gt;0</formula>
    </cfRule>
  </conditionalFormatting>
  <conditionalFormatting sqref="AP8">
    <cfRule type="expression" dxfId="54" priority="24">
      <formula>COUNTIF($P$88:$AI$117,AP8)&gt;0</formula>
    </cfRule>
  </conditionalFormatting>
  <conditionalFormatting sqref="AP9">
    <cfRule type="expression" dxfId="53" priority="23">
      <formula>COUNTIF($P$88:$AI$117,AP9)&gt;0</formula>
    </cfRule>
  </conditionalFormatting>
  <conditionalFormatting sqref="AP10">
    <cfRule type="expression" dxfId="52" priority="22">
      <formula>COUNTIF($P$88:$AI$117,AP10)&gt;0</formula>
    </cfRule>
  </conditionalFormatting>
  <conditionalFormatting sqref="AP11">
    <cfRule type="expression" dxfId="51" priority="21">
      <formula>COUNTIF($P$88:$AI$117,AP11)&gt;0</formula>
    </cfRule>
  </conditionalFormatting>
  <conditionalFormatting sqref="AP16">
    <cfRule type="expression" dxfId="50" priority="20">
      <formula>COUNTIF($P$88:$AI$117,AP16)&gt;0</formula>
    </cfRule>
  </conditionalFormatting>
  <conditionalFormatting sqref="AP17">
    <cfRule type="expression" dxfId="49" priority="19">
      <formula>COUNTIF($P$88:$AI$117,AP17)&gt;0</formula>
    </cfRule>
  </conditionalFormatting>
  <conditionalFormatting sqref="AR7">
    <cfRule type="expression" dxfId="48" priority="18">
      <formula>COUNTIF($P$88:$AI$117,AR7)&gt;0</formula>
    </cfRule>
  </conditionalFormatting>
  <conditionalFormatting sqref="AR8">
    <cfRule type="expression" dxfId="47" priority="17">
      <formula>COUNTIF($P$88:$AI$117,AR8)&gt;0</formula>
    </cfRule>
  </conditionalFormatting>
  <conditionalFormatting sqref="AR9">
    <cfRule type="expression" dxfId="46" priority="16">
      <formula>COUNTIF($P$88:$AI$117,AR9)&gt;0</formula>
    </cfRule>
  </conditionalFormatting>
  <conditionalFormatting sqref="AR10">
    <cfRule type="expression" dxfId="45" priority="15">
      <formula>COUNTIF($P$88:$AI$117,AR10)&gt;0</formula>
    </cfRule>
  </conditionalFormatting>
  <conditionalFormatting sqref="AR11">
    <cfRule type="expression" dxfId="44" priority="14">
      <formula>COUNTIF($P$88:$AI$117,AR11)&gt;0</formula>
    </cfRule>
  </conditionalFormatting>
  <conditionalFormatting sqref="AR16">
    <cfRule type="expression" dxfId="43" priority="13">
      <formula>COUNTIF($P$88:$AI$117,AR16)&gt;0</formula>
    </cfRule>
  </conditionalFormatting>
  <conditionalFormatting sqref="AR17">
    <cfRule type="expression" dxfId="42" priority="12">
      <formula>COUNTIF($P$88:$AI$117,AR17)&gt;0</formula>
    </cfRule>
  </conditionalFormatting>
  <conditionalFormatting sqref="AR18">
    <cfRule type="expression" dxfId="41" priority="11">
      <formula>COUNTIF($P$88:$AI$117,AR18)&gt;0</formula>
    </cfRule>
  </conditionalFormatting>
  <conditionalFormatting sqref="AZ7">
    <cfRule type="expression" dxfId="40" priority="10">
      <formula>COUNTIF($P$88:$AI$117,AZ7)&gt;0</formula>
    </cfRule>
  </conditionalFormatting>
  <conditionalFormatting sqref="AZ8">
    <cfRule type="expression" dxfId="39" priority="9">
      <formula>COUNTIF($P$88:$AI$117,AZ8)&gt;0</formula>
    </cfRule>
  </conditionalFormatting>
  <conditionalFormatting sqref="AZ9">
    <cfRule type="expression" dxfId="38" priority="8">
      <formula>COUNTIF($P$88:$AI$117,AZ9)&gt;0</formula>
    </cfRule>
  </conditionalFormatting>
  <conditionalFormatting sqref="AZ10">
    <cfRule type="expression" dxfId="37" priority="7">
      <formula>COUNTIF($P$88:$AI$117,AZ10)&gt;0</formula>
    </cfRule>
  </conditionalFormatting>
  <conditionalFormatting sqref="AZ11">
    <cfRule type="expression" dxfId="36" priority="6">
      <formula>COUNTIF($P$88:$AI$117,AZ11)&gt;0</formula>
    </cfRule>
  </conditionalFormatting>
  <conditionalFormatting sqref="AZ12">
    <cfRule type="expression" dxfId="35" priority="5">
      <formula>COUNTIF($P$88:$AI$117,AZ12)&gt;0</formula>
    </cfRule>
  </conditionalFormatting>
  <conditionalFormatting sqref="AZ13">
    <cfRule type="expression" dxfId="34" priority="4">
      <formula>COUNTIF($P$88:$AI$117,AZ13)&gt;0</formula>
    </cfRule>
  </conditionalFormatting>
  <conditionalFormatting sqref="AZ14">
    <cfRule type="expression" dxfId="33" priority="3">
      <formula>COUNTIF($P$88:$AI$117,AZ14)&gt;0</formula>
    </cfRule>
  </conditionalFormatting>
  <conditionalFormatting sqref="AZ16">
    <cfRule type="expression" dxfId="32" priority="2">
      <formula>COUNTIF($P$88:$AI$117,AZ16)&gt;0</formula>
    </cfRule>
  </conditionalFormatting>
  <conditionalFormatting sqref="AZ17">
    <cfRule type="expression" dxfId="31" priority="1">
      <formula>COUNTIF($P$88:$AI$117,AZ17)&gt;0</formula>
    </cfRule>
  </conditionalFormatting>
  <dataValidations count="2">
    <dataValidation type="list" allowBlank="1" showInputMessage="1" showErrorMessage="1" sqref="E7" xr:uid="{CAE18F7C-F223-4AB0-A523-15E484836EB5}">
      <formula1>"Data Science,Automation,Cyber,Sensor"</formula1>
    </dataValidation>
    <dataValidation type="list" allowBlank="1" showInputMessage="1" showErrorMessage="1" sqref="C7:D7" xr:uid="{6DB93D8F-5FC3-42C1-8B7D-2E26AEC0B4D2}">
      <formula1>"Beginner,Advanced"</formula1>
    </dataValidation>
  </dataValidations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4" r:id="rId4" name="Check Box 2">
              <controlPr defaultSize="0" autoFill="0" autoLine="0" autoPict="0">
                <anchor moveWithCells="1">
                  <from>
                    <xdr:col>8</xdr:col>
                    <xdr:colOff>292100</xdr:colOff>
                    <xdr:row>5</xdr:row>
                    <xdr:rowOff>393700</xdr:rowOff>
                  </from>
                  <to>
                    <xdr:col>8</xdr:col>
                    <xdr:colOff>501650</xdr:colOff>
                    <xdr:row>7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5" name="Check Box 3">
              <controlPr defaultSize="0" autoFill="0" autoLine="0" autoPict="0">
                <anchor moveWithCells="1">
                  <from>
                    <xdr:col>8</xdr:col>
                    <xdr:colOff>298450</xdr:colOff>
                    <xdr:row>7</xdr:row>
                    <xdr:rowOff>0</xdr:rowOff>
                  </from>
                  <to>
                    <xdr:col>8</xdr:col>
                    <xdr:colOff>527050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6" name="Check Box 4">
              <controlPr defaultSize="0" autoFill="0" autoLine="0" autoPict="0">
                <anchor moveWithCells="1">
                  <from>
                    <xdr:col>8</xdr:col>
                    <xdr:colOff>298450</xdr:colOff>
                    <xdr:row>7</xdr:row>
                    <xdr:rowOff>184150</xdr:rowOff>
                  </from>
                  <to>
                    <xdr:col>8</xdr:col>
                    <xdr:colOff>501650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7" name="Check Box 5">
              <controlPr defaultSize="0" autoFill="0" autoLine="0" autoPict="0">
                <anchor moveWithCells="1">
                  <from>
                    <xdr:col>8</xdr:col>
                    <xdr:colOff>298450</xdr:colOff>
                    <xdr:row>9</xdr:row>
                    <xdr:rowOff>184150</xdr:rowOff>
                  </from>
                  <to>
                    <xdr:col>8</xdr:col>
                    <xdr:colOff>501650</xdr:colOff>
                    <xdr:row>10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8" name="Check Box 6">
              <controlPr defaultSize="0" autoFill="0" autoLine="0" autoPict="0">
                <anchor moveWithCells="1">
                  <from>
                    <xdr:col>8</xdr:col>
                    <xdr:colOff>298450</xdr:colOff>
                    <xdr:row>10</xdr:row>
                    <xdr:rowOff>184150</xdr:rowOff>
                  </from>
                  <to>
                    <xdr:col>8</xdr:col>
                    <xdr:colOff>501650</xdr:colOff>
                    <xdr:row>11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9" name="Check Box 7">
              <controlPr defaultSize="0" autoFill="0" autoLine="0" autoPict="0">
                <anchor moveWithCells="1">
                  <from>
                    <xdr:col>8</xdr:col>
                    <xdr:colOff>298450</xdr:colOff>
                    <xdr:row>11</xdr:row>
                    <xdr:rowOff>184150</xdr:rowOff>
                  </from>
                  <to>
                    <xdr:col>8</xdr:col>
                    <xdr:colOff>527050</xdr:colOff>
                    <xdr:row>13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0" name="Check Box 8">
              <controlPr defaultSize="0" autoFill="0" autoLine="0" autoPict="0">
                <anchor moveWithCells="1">
                  <from>
                    <xdr:col>8</xdr:col>
                    <xdr:colOff>304800</xdr:colOff>
                    <xdr:row>12</xdr:row>
                    <xdr:rowOff>184150</xdr:rowOff>
                  </from>
                  <to>
                    <xdr:col>8</xdr:col>
                    <xdr:colOff>533400</xdr:colOff>
                    <xdr:row>13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1" name="Check Box 9">
              <controlPr defaultSize="0" autoFill="0" autoLine="0" autoPict="0">
                <anchor moveWithCells="1">
                  <from>
                    <xdr:col>8</xdr:col>
                    <xdr:colOff>298450</xdr:colOff>
                    <xdr:row>8</xdr:row>
                    <xdr:rowOff>184150</xdr:rowOff>
                  </from>
                  <to>
                    <xdr:col>8</xdr:col>
                    <xdr:colOff>501650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2" r:id="rId12" name="Check Box 10">
              <controlPr defaultSize="0" autoFill="0" autoLine="0" autoPict="0">
                <anchor moveWithCells="1">
                  <from>
                    <xdr:col>8</xdr:col>
                    <xdr:colOff>311150</xdr:colOff>
                    <xdr:row>13</xdr:row>
                    <xdr:rowOff>184150</xdr:rowOff>
                  </from>
                  <to>
                    <xdr:col>8</xdr:col>
                    <xdr:colOff>527050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3" r:id="rId13" name="Check Box 11">
              <controlPr defaultSize="0" autoFill="0" autoLine="0" autoPict="0">
                <anchor moveWithCells="1">
                  <from>
                    <xdr:col>8</xdr:col>
                    <xdr:colOff>311150</xdr:colOff>
                    <xdr:row>14</xdr:row>
                    <xdr:rowOff>177800</xdr:rowOff>
                  </from>
                  <to>
                    <xdr:col>8</xdr:col>
                    <xdr:colOff>527050</xdr:colOff>
                    <xdr:row>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14" name="Check Box 12">
              <controlPr defaultSize="0" autoFill="0" autoLine="0" autoPict="0">
                <anchor moveWithCells="1">
                  <from>
                    <xdr:col>8</xdr:col>
                    <xdr:colOff>304800</xdr:colOff>
                    <xdr:row>15</xdr:row>
                    <xdr:rowOff>165100</xdr:rowOff>
                  </from>
                  <to>
                    <xdr:col>8</xdr:col>
                    <xdr:colOff>520700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5" r:id="rId15" name="Check Box 13">
              <controlPr defaultSize="0" autoFill="0" autoLine="0" autoPict="0">
                <anchor moveWithCells="1">
                  <from>
                    <xdr:col>8</xdr:col>
                    <xdr:colOff>304800</xdr:colOff>
                    <xdr:row>16</xdr:row>
                    <xdr:rowOff>165100</xdr:rowOff>
                  </from>
                  <to>
                    <xdr:col>8</xdr:col>
                    <xdr:colOff>527050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6" r:id="rId16" name="Check Box 14">
              <controlPr defaultSize="0" autoFill="0" autoLine="0" autoPict="0">
                <anchor moveWithCells="1">
                  <from>
                    <xdr:col>8</xdr:col>
                    <xdr:colOff>298450</xdr:colOff>
                    <xdr:row>17</xdr:row>
                    <xdr:rowOff>165100</xdr:rowOff>
                  </from>
                  <to>
                    <xdr:col>8</xdr:col>
                    <xdr:colOff>501650</xdr:colOff>
                    <xdr:row>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7" r:id="rId17" name="Check Box 15">
              <controlPr defaultSize="0" autoFill="0" autoLine="0" autoPict="0">
                <anchor moveWithCells="1">
                  <from>
                    <xdr:col>8</xdr:col>
                    <xdr:colOff>298450</xdr:colOff>
                    <xdr:row>19</xdr:row>
                    <xdr:rowOff>158750</xdr:rowOff>
                  </from>
                  <to>
                    <xdr:col>8</xdr:col>
                    <xdr:colOff>501650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8" r:id="rId18" name="Check Box 16">
              <controlPr defaultSize="0" autoFill="0" autoLine="0" autoPict="0">
                <anchor moveWithCells="1">
                  <from>
                    <xdr:col>8</xdr:col>
                    <xdr:colOff>298450</xdr:colOff>
                    <xdr:row>20</xdr:row>
                    <xdr:rowOff>165100</xdr:rowOff>
                  </from>
                  <to>
                    <xdr:col>8</xdr:col>
                    <xdr:colOff>501650</xdr:colOff>
                    <xdr:row>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9" r:id="rId19" name="Check Box 17">
              <controlPr defaultSize="0" autoFill="0" autoLine="0" autoPict="0">
                <anchor moveWithCells="1">
                  <from>
                    <xdr:col>8</xdr:col>
                    <xdr:colOff>298450</xdr:colOff>
                    <xdr:row>18</xdr:row>
                    <xdr:rowOff>165100</xdr:rowOff>
                  </from>
                  <to>
                    <xdr:col>8</xdr:col>
                    <xdr:colOff>501650</xdr:colOff>
                    <xdr:row>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0" r:id="rId20" name="Check Box 18">
              <controlPr defaultSize="0" autoFill="0" autoLine="0" autoPict="0">
                <anchor moveWithCells="1">
                  <from>
                    <xdr:col>8</xdr:col>
                    <xdr:colOff>298450</xdr:colOff>
                    <xdr:row>21</xdr:row>
                    <xdr:rowOff>184150</xdr:rowOff>
                  </from>
                  <to>
                    <xdr:col>8</xdr:col>
                    <xdr:colOff>501650</xdr:colOff>
                    <xdr:row>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1" r:id="rId21" name="Check Box 19">
              <controlPr defaultSize="0" autoFill="0" autoLine="0" autoPict="0">
                <anchor moveWithCells="1">
                  <from>
                    <xdr:col>8</xdr:col>
                    <xdr:colOff>298450</xdr:colOff>
                    <xdr:row>22</xdr:row>
                    <xdr:rowOff>184150</xdr:rowOff>
                  </from>
                  <to>
                    <xdr:col>8</xdr:col>
                    <xdr:colOff>501650</xdr:colOff>
                    <xdr:row>23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4A58D-32BE-45BA-8D1F-03345446D12D}">
  <sheetPr>
    <tabColor theme="4"/>
  </sheetPr>
  <dimension ref="A1:AE58"/>
  <sheetViews>
    <sheetView showGridLines="0" zoomScale="50" zoomScaleNormal="5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R33" sqref="R33"/>
    </sheetView>
  </sheetViews>
  <sheetFormatPr defaultRowHeight="14.5" x14ac:dyDescent="0.35"/>
  <cols>
    <col min="1" max="1" width="2.54296875" customWidth="1"/>
    <col min="2" max="2" width="4.90625" customWidth="1"/>
    <col min="3" max="3" width="37.453125" customWidth="1"/>
    <col min="4" max="23" width="8.453125" customWidth="1"/>
    <col min="24" max="24" width="11.453125" customWidth="1"/>
    <col min="25" max="25" width="14.90625" customWidth="1"/>
    <col min="26" max="26" width="13.453125" customWidth="1"/>
    <col min="27" max="27" width="19" customWidth="1"/>
    <col min="28" max="29" width="8.453125" customWidth="1"/>
    <col min="30" max="31" width="10.453125" customWidth="1"/>
  </cols>
  <sheetData>
    <row r="1" spans="1:31" x14ac:dyDescent="0.35">
      <c r="B1" s="8"/>
    </row>
    <row r="2" spans="1:31" ht="18.5" x14ac:dyDescent="0.45">
      <c r="A2" s="19" t="s">
        <v>183</v>
      </c>
      <c r="B2" s="7"/>
      <c r="C2" s="19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31" x14ac:dyDescent="0.35">
      <c r="B3" s="8"/>
    </row>
    <row r="4" spans="1:31" ht="18.5" x14ac:dyDescent="0.45">
      <c r="A4" s="17"/>
      <c r="B4" s="21"/>
      <c r="C4" s="17"/>
      <c r="D4" s="22" t="s">
        <v>184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52" t="s">
        <v>185</v>
      </c>
      <c r="AA4" s="52"/>
      <c r="AB4" s="53"/>
      <c r="AC4" s="52"/>
      <c r="AD4" s="46"/>
      <c r="AE4" s="46"/>
    </row>
    <row r="5" spans="1:31" ht="95.4" customHeight="1" x14ac:dyDescent="0.35">
      <c r="A5" s="2"/>
      <c r="B5" s="55" t="s">
        <v>186</v>
      </c>
      <c r="C5" s="54" t="s">
        <v>187</v>
      </c>
      <c r="D5" s="47" t="s">
        <v>188</v>
      </c>
      <c r="E5" s="47" t="s">
        <v>189</v>
      </c>
      <c r="F5" s="47" t="s">
        <v>190</v>
      </c>
      <c r="G5" s="47" t="s">
        <v>191</v>
      </c>
      <c r="H5" s="47" t="s">
        <v>192</v>
      </c>
      <c r="I5" s="47" t="s">
        <v>193</v>
      </c>
      <c r="J5" s="47" t="s">
        <v>194</v>
      </c>
      <c r="K5" s="47" t="s">
        <v>195</v>
      </c>
      <c r="L5" s="47" t="s">
        <v>196</v>
      </c>
      <c r="M5" s="47" t="s">
        <v>197</v>
      </c>
      <c r="N5" s="47" t="s">
        <v>198</v>
      </c>
      <c r="O5" s="47" t="s">
        <v>199</v>
      </c>
      <c r="P5" s="47" t="s">
        <v>200</v>
      </c>
      <c r="Q5" s="47" t="s">
        <v>201</v>
      </c>
      <c r="R5" s="47" t="s">
        <v>202</v>
      </c>
      <c r="S5" s="47" t="s">
        <v>203</v>
      </c>
      <c r="T5" s="47" t="s">
        <v>204</v>
      </c>
      <c r="U5" s="47" t="s">
        <v>205</v>
      </c>
      <c r="V5" s="47" t="s">
        <v>206</v>
      </c>
      <c r="W5" s="47" t="s">
        <v>207</v>
      </c>
      <c r="X5" s="47" t="s">
        <v>208</v>
      </c>
      <c r="Y5" s="47" t="s">
        <v>209</v>
      </c>
      <c r="Z5" s="47" t="s">
        <v>210</v>
      </c>
      <c r="AA5" s="47" t="s">
        <v>12</v>
      </c>
      <c r="AB5" s="48" t="s">
        <v>211</v>
      </c>
      <c r="AC5" s="49" t="s">
        <v>55</v>
      </c>
      <c r="AD5" s="50" t="s">
        <v>56</v>
      </c>
      <c r="AE5" s="51" t="s">
        <v>57</v>
      </c>
    </row>
    <row r="6" spans="1:31" x14ac:dyDescent="0.35">
      <c r="B6" s="2">
        <v>1</v>
      </c>
      <c r="C6" s="60" t="s">
        <v>212</v>
      </c>
      <c r="D6" s="67">
        <v>1</v>
      </c>
      <c r="E6" s="67"/>
      <c r="F6" s="67">
        <v>1</v>
      </c>
      <c r="G6" s="67">
        <v>1</v>
      </c>
      <c r="H6" s="67">
        <v>1</v>
      </c>
      <c r="I6" s="67">
        <v>1</v>
      </c>
      <c r="J6" s="67">
        <v>1</v>
      </c>
      <c r="K6" s="67"/>
      <c r="L6" s="67">
        <v>1</v>
      </c>
      <c r="M6" s="67">
        <v>1</v>
      </c>
      <c r="N6" s="67">
        <v>1</v>
      </c>
      <c r="O6" s="67"/>
      <c r="P6" s="67"/>
      <c r="Q6" s="67"/>
      <c r="R6" s="67"/>
      <c r="S6" s="67"/>
      <c r="T6" s="67">
        <v>1</v>
      </c>
      <c r="U6" s="67"/>
      <c r="V6" s="67"/>
      <c r="W6" s="67"/>
      <c r="X6" s="23"/>
      <c r="Y6" s="23">
        <v>1</v>
      </c>
      <c r="Z6" s="23">
        <v>1</v>
      </c>
      <c r="AA6" s="23">
        <v>1</v>
      </c>
      <c r="AB6" s="62">
        <v>1</v>
      </c>
      <c r="AC6" s="63"/>
      <c r="AD6" s="64"/>
      <c r="AE6" s="65"/>
    </row>
    <row r="7" spans="1:31" x14ac:dyDescent="0.35">
      <c r="B7" s="2">
        <v>2</v>
      </c>
      <c r="C7" s="60" t="s">
        <v>100</v>
      </c>
      <c r="D7" s="67">
        <v>1</v>
      </c>
      <c r="E7" s="67"/>
      <c r="F7" s="67">
        <v>1</v>
      </c>
      <c r="G7" s="67">
        <v>1</v>
      </c>
      <c r="H7" s="67">
        <v>1</v>
      </c>
      <c r="I7" s="67">
        <v>1</v>
      </c>
      <c r="J7" s="67">
        <v>1</v>
      </c>
      <c r="K7" s="67"/>
      <c r="L7" s="67">
        <v>1</v>
      </c>
      <c r="M7" s="67">
        <v>1</v>
      </c>
      <c r="N7" s="67">
        <v>1</v>
      </c>
      <c r="O7" s="67"/>
      <c r="P7" s="67"/>
      <c r="Q7" s="67"/>
      <c r="R7" s="67"/>
      <c r="S7" s="67"/>
      <c r="T7" s="67">
        <v>1</v>
      </c>
      <c r="U7" s="67"/>
      <c r="V7" s="67"/>
      <c r="W7" s="67"/>
      <c r="X7" s="24"/>
      <c r="Y7" s="24">
        <v>1</v>
      </c>
      <c r="Z7" s="24">
        <v>1</v>
      </c>
      <c r="AA7" s="24">
        <v>1</v>
      </c>
      <c r="AB7" s="62">
        <v>1</v>
      </c>
      <c r="AC7" s="63"/>
      <c r="AD7" s="64"/>
      <c r="AE7" s="65"/>
    </row>
    <row r="8" spans="1:31" x14ac:dyDescent="0.35">
      <c r="B8" s="2">
        <v>3</v>
      </c>
      <c r="C8" s="60" t="s">
        <v>213</v>
      </c>
      <c r="D8" s="67"/>
      <c r="E8" s="67"/>
      <c r="F8" s="67">
        <v>1</v>
      </c>
      <c r="G8" s="67"/>
      <c r="H8" s="67">
        <v>1</v>
      </c>
      <c r="I8" s="67"/>
      <c r="J8" s="67"/>
      <c r="K8" s="67"/>
      <c r="L8" s="67"/>
      <c r="M8" s="67"/>
      <c r="N8" s="67">
        <v>1</v>
      </c>
      <c r="O8" s="67"/>
      <c r="P8" s="67"/>
      <c r="Q8" s="67"/>
      <c r="R8" s="67"/>
      <c r="S8" s="67"/>
      <c r="T8" s="67"/>
      <c r="U8" s="67"/>
      <c r="V8" s="67"/>
      <c r="W8" s="67"/>
      <c r="X8" s="24"/>
      <c r="Y8" s="24">
        <v>1</v>
      </c>
      <c r="Z8" s="24">
        <v>1</v>
      </c>
      <c r="AA8" s="24"/>
      <c r="AB8" s="62">
        <v>1</v>
      </c>
      <c r="AC8" s="63"/>
      <c r="AD8" s="64"/>
      <c r="AE8" s="65"/>
    </row>
    <row r="9" spans="1:31" x14ac:dyDescent="0.35">
      <c r="B9" s="2">
        <v>4</v>
      </c>
      <c r="C9" s="60" t="s">
        <v>214</v>
      </c>
      <c r="D9" s="67">
        <v>1</v>
      </c>
      <c r="E9" s="67"/>
      <c r="F9" s="67">
        <v>1</v>
      </c>
      <c r="G9" s="67">
        <v>1</v>
      </c>
      <c r="H9" s="67"/>
      <c r="I9" s="67"/>
      <c r="J9" s="67">
        <v>1</v>
      </c>
      <c r="K9" s="67">
        <v>1</v>
      </c>
      <c r="L9" s="67">
        <v>1</v>
      </c>
      <c r="M9" s="67"/>
      <c r="N9" s="67"/>
      <c r="O9" s="67">
        <v>1</v>
      </c>
      <c r="P9" s="67"/>
      <c r="Q9" s="67">
        <v>1</v>
      </c>
      <c r="R9" s="67"/>
      <c r="S9" s="67">
        <v>1</v>
      </c>
      <c r="T9" s="67"/>
      <c r="U9" s="67"/>
      <c r="V9" s="67"/>
      <c r="W9" s="67"/>
      <c r="X9" s="24"/>
      <c r="Y9" s="24">
        <v>1</v>
      </c>
      <c r="Z9" s="24">
        <v>1</v>
      </c>
      <c r="AA9" s="24"/>
      <c r="AB9" s="62">
        <v>1</v>
      </c>
      <c r="AC9" s="63"/>
      <c r="AD9" s="64">
        <v>1</v>
      </c>
      <c r="AE9" s="65">
        <v>1</v>
      </c>
    </row>
    <row r="10" spans="1:31" x14ac:dyDescent="0.35">
      <c r="B10" s="2">
        <v>5</v>
      </c>
      <c r="C10" s="60" t="s">
        <v>215</v>
      </c>
      <c r="D10" s="67"/>
      <c r="E10" s="67"/>
      <c r="F10" s="67">
        <v>1</v>
      </c>
      <c r="G10" s="67">
        <v>1</v>
      </c>
      <c r="H10" s="67">
        <v>1</v>
      </c>
      <c r="I10" s="67"/>
      <c r="J10" s="67"/>
      <c r="K10" s="67"/>
      <c r="L10" s="67"/>
      <c r="M10" s="67">
        <v>1</v>
      </c>
      <c r="N10" s="67">
        <v>1</v>
      </c>
      <c r="O10" s="67"/>
      <c r="P10" s="67">
        <v>1</v>
      </c>
      <c r="Q10" s="67"/>
      <c r="R10" s="67"/>
      <c r="S10" s="67"/>
      <c r="T10" s="67">
        <v>1</v>
      </c>
      <c r="U10" s="67"/>
      <c r="V10" s="67"/>
      <c r="W10" s="67">
        <v>1</v>
      </c>
      <c r="X10" s="24"/>
      <c r="Y10" s="24">
        <v>1</v>
      </c>
      <c r="Z10" s="24">
        <v>1</v>
      </c>
      <c r="AA10" s="24">
        <v>1</v>
      </c>
      <c r="AB10" s="62">
        <v>1</v>
      </c>
      <c r="AC10" s="63"/>
      <c r="AD10" s="64"/>
      <c r="AE10" s="65"/>
    </row>
    <row r="11" spans="1:31" x14ac:dyDescent="0.35">
      <c r="B11" s="2">
        <v>6</v>
      </c>
      <c r="C11" s="60" t="s">
        <v>216</v>
      </c>
      <c r="D11" s="67"/>
      <c r="E11" s="67"/>
      <c r="F11" s="67">
        <v>1</v>
      </c>
      <c r="G11" s="67">
        <v>1</v>
      </c>
      <c r="H11" s="67">
        <v>1</v>
      </c>
      <c r="I11" s="67">
        <v>1</v>
      </c>
      <c r="J11" s="67">
        <v>1</v>
      </c>
      <c r="K11" s="67"/>
      <c r="L11" s="67">
        <v>1</v>
      </c>
      <c r="M11" s="67">
        <v>1</v>
      </c>
      <c r="N11" s="67">
        <v>1</v>
      </c>
      <c r="O11" s="67"/>
      <c r="P11" s="67">
        <v>1</v>
      </c>
      <c r="Q11" s="67"/>
      <c r="R11" s="67"/>
      <c r="S11" s="67"/>
      <c r="T11" s="67">
        <v>1</v>
      </c>
      <c r="U11" s="67">
        <v>1</v>
      </c>
      <c r="V11" s="67"/>
      <c r="W11" s="67">
        <v>1</v>
      </c>
      <c r="X11" s="24"/>
      <c r="Y11" s="24">
        <v>1</v>
      </c>
      <c r="Z11" s="24">
        <v>1</v>
      </c>
      <c r="AA11" s="24">
        <v>1</v>
      </c>
      <c r="AB11" s="62">
        <v>1</v>
      </c>
      <c r="AC11" s="63"/>
      <c r="AD11" s="64"/>
      <c r="AE11" s="65"/>
    </row>
    <row r="12" spans="1:31" x14ac:dyDescent="0.35">
      <c r="B12" s="2">
        <v>7</v>
      </c>
      <c r="C12" s="60" t="s">
        <v>217</v>
      </c>
      <c r="D12" s="67"/>
      <c r="E12" s="67"/>
      <c r="F12" s="67"/>
      <c r="G12" s="67"/>
      <c r="H12" s="67">
        <v>1</v>
      </c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>
        <v>1</v>
      </c>
      <c r="U12" s="67"/>
      <c r="V12" s="67"/>
      <c r="W12" s="67"/>
      <c r="X12" s="24"/>
      <c r="Y12" s="24">
        <v>1</v>
      </c>
      <c r="Z12" s="24">
        <v>1</v>
      </c>
      <c r="AA12" s="24"/>
      <c r="AB12" s="62">
        <v>1</v>
      </c>
      <c r="AC12" s="63"/>
      <c r="AD12" s="64"/>
      <c r="AE12" s="65"/>
    </row>
    <row r="13" spans="1:31" x14ac:dyDescent="0.35">
      <c r="B13" s="2">
        <v>8</v>
      </c>
      <c r="C13" s="60" t="s">
        <v>12</v>
      </c>
      <c r="D13" s="67">
        <v>1</v>
      </c>
      <c r="E13" s="67"/>
      <c r="F13" s="67"/>
      <c r="G13" s="67">
        <v>1</v>
      </c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24"/>
      <c r="Y13" s="24">
        <v>1</v>
      </c>
      <c r="Z13" s="24">
        <v>1</v>
      </c>
      <c r="AA13" s="24">
        <v>1</v>
      </c>
      <c r="AB13" s="62">
        <v>1</v>
      </c>
      <c r="AC13" s="63"/>
      <c r="AD13" s="64"/>
      <c r="AE13" s="65"/>
    </row>
    <row r="14" spans="1:31" x14ac:dyDescent="0.35">
      <c r="B14" s="2">
        <v>9</v>
      </c>
      <c r="C14" s="60" t="s">
        <v>218</v>
      </c>
      <c r="D14" s="67"/>
      <c r="E14" s="67"/>
      <c r="F14" s="67"/>
      <c r="G14" s="67"/>
      <c r="H14" s="67">
        <v>1</v>
      </c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24"/>
      <c r="Y14" s="24">
        <v>1</v>
      </c>
      <c r="Z14" s="24">
        <v>1</v>
      </c>
      <c r="AA14" s="24"/>
      <c r="AB14" s="62">
        <v>1</v>
      </c>
      <c r="AC14" s="63"/>
      <c r="AD14" s="64"/>
      <c r="AE14" s="65"/>
    </row>
    <row r="15" spans="1:31" x14ac:dyDescent="0.35">
      <c r="B15" s="2">
        <v>10</v>
      </c>
      <c r="C15" s="60" t="s">
        <v>219</v>
      </c>
      <c r="D15" s="67"/>
      <c r="E15" s="67"/>
      <c r="F15" s="67">
        <v>1</v>
      </c>
      <c r="G15" s="67">
        <v>1</v>
      </c>
      <c r="H15" s="67">
        <v>1</v>
      </c>
      <c r="I15" s="67">
        <v>1</v>
      </c>
      <c r="J15" s="67"/>
      <c r="K15" s="67"/>
      <c r="L15" s="67"/>
      <c r="M15" s="67"/>
      <c r="N15" s="67">
        <v>1</v>
      </c>
      <c r="O15" s="67"/>
      <c r="P15" s="67"/>
      <c r="Q15" s="67"/>
      <c r="R15" s="67"/>
      <c r="S15" s="67"/>
      <c r="T15" s="67">
        <v>1</v>
      </c>
      <c r="U15" s="67"/>
      <c r="V15" s="67"/>
      <c r="W15" s="67">
        <v>1</v>
      </c>
      <c r="X15" s="24"/>
      <c r="Y15" s="24">
        <v>1</v>
      </c>
      <c r="Z15" s="24">
        <v>1</v>
      </c>
      <c r="AA15" s="24">
        <v>1</v>
      </c>
      <c r="AB15" s="62">
        <v>1</v>
      </c>
      <c r="AC15" s="63"/>
      <c r="AD15" s="64"/>
      <c r="AE15" s="65"/>
    </row>
    <row r="16" spans="1:31" x14ac:dyDescent="0.35">
      <c r="B16" s="2">
        <v>11</v>
      </c>
      <c r="C16" s="60" t="s">
        <v>65</v>
      </c>
      <c r="D16" s="67"/>
      <c r="E16" s="67"/>
      <c r="F16" s="67"/>
      <c r="G16" s="67"/>
      <c r="H16" s="67"/>
      <c r="I16" s="67"/>
      <c r="J16" s="67"/>
      <c r="K16" s="67">
        <v>1</v>
      </c>
      <c r="L16" s="67"/>
      <c r="M16" s="67"/>
      <c r="N16" s="67"/>
      <c r="O16" s="67">
        <v>1</v>
      </c>
      <c r="P16" s="67"/>
      <c r="Q16" s="67">
        <v>1</v>
      </c>
      <c r="R16" s="67">
        <v>1</v>
      </c>
      <c r="S16" s="67">
        <v>1</v>
      </c>
      <c r="T16" s="67"/>
      <c r="U16" s="67"/>
      <c r="V16" s="67"/>
      <c r="W16" s="67"/>
      <c r="X16" s="24"/>
      <c r="Y16" s="24">
        <v>1</v>
      </c>
      <c r="Z16" s="24">
        <v>1</v>
      </c>
      <c r="AA16" s="24"/>
      <c r="AB16" s="62">
        <v>1</v>
      </c>
      <c r="AC16" s="63"/>
      <c r="AD16" s="64"/>
      <c r="AE16" s="65"/>
    </row>
    <row r="17" spans="2:31" x14ac:dyDescent="0.35">
      <c r="B17" s="2">
        <v>12</v>
      </c>
      <c r="C17" s="60" t="s">
        <v>220</v>
      </c>
      <c r="D17" s="67"/>
      <c r="E17" s="67"/>
      <c r="F17" s="67"/>
      <c r="G17" s="67"/>
      <c r="H17" s="67">
        <v>1</v>
      </c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24"/>
      <c r="Y17" s="24">
        <v>1</v>
      </c>
      <c r="Z17" s="24">
        <v>1</v>
      </c>
      <c r="AA17" s="24"/>
      <c r="AB17" s="62">
        <v>1</v>
      </c>
      <c r="AC17" s="63"/>
      <c r="AD17" s="64"/>
      <c r="AE17" s="65"/>
    </row>
    <row r="18" spans="2:31" x14ac:dyDescent="0.35">
      <c r="B18" s="2">
        <v>13</v>
      </c>
      <c r="C18" s="60" t="s">
        <v>55</v>
      </c>
      <c r="D18" s="67"/>
      <c r="E18" s="67"/>
      <c r="F18" s="67"/>
      <c r="G18" s="67"/>
      <c r="H18" s="67"/>
      <c r="I18" s="67"/>
      <c r="J18" s="67"/>
      <c r="K18" s="67">
        <v>1</v>
      </c>
      <c r="L18" s="67">
        <v>1</v>
      </c>
      <c r="M18" s="67">
        <v>1</v>
      </c>
      <c r="N18" s="67">
        <v>1</v>
      </c>
      <c r="O18" s="67"/>
      <c r="P18" s="67"/>
      <c r="Q18" s="67"/>
      <c r="R18" s="67"/>
      <c r="S18" s="67"/>
      <c r="T18" s="67"/>
      <c r="U18" s="67">
        <v>1</v>
      </c>
      <c r="V18" s="67"/>
      <c r="W18" s="67"/>
      <c r="X18" s="24"/>
      <c r="Y18" s="24"/>
      <c r="Z18" s="24">
        <v>1</v>
      </c>
      <c r="AA18" s="24"/>
      <c r="AB18" s="62">
        <v>1</v>
      </c>
      <c r="AC18" s="63">
        <v>1</v>
      </c>
      <c r="AD18" s="64">
        <v>1</v>
      </c>
      <c r="AE18" s="65">
        <v>1</v>
      </c>
    </row>
    <row r="19" spans="2:31" x14ac:dyDescent="0.35">
      <c r="B19" s="2">
        <v>14</v>
      </c>
      <c r="C19" s="60" t="s">
        <v>221</v>
      </c>
      <c r="D19" s="67"/>
      <c r="E19" s="67"/>
      <c r="F19" s="67">
        <v>1</v>
      </c>
      <c r="G19" s="67">
        <v>1</v>
      </c>
      <c r="H19" s="67">
        <v>1</v>
      </c>
      <c r="I19" s="67">
        <v>1</v>
      </c>
      <c r="J19" s="67">
        <v>1</v>
      </c>
      <c r="K19" s="67">
        <v>1</v>
      </c>
      <c r="L19" s="67">
        <v>1</v>
      </c>
      <c r="M19" s="67">
        <v>1</v>
      </c>
      <c r="N19" s="67">
        <v>1</v>
      </c>
      <c r="O19" s="67"/>
      <c r="P19" s="67"/>
      <c r="Q19" s="67"/>
      <c r="R19" s="67"/>
      <c r="S19" s="67"/>
      <c r="T19" s="67">
        <v>1</v>
      </c>
      <c r="U19" s="67">
        <v>1</v>
      </c>
      <c r="V19" s="67"/>
      <c r="W19" s="67"/>
      <c r="X19" s="24"/>
      <c r="Y19" s="24"/>
      <c r="Z19" s="24">
        <v>1</v>
      </c>
      <c r="AA19" s="24"/>
      <c r="AB19" s="62">
        <v>1</v>
      </c>
      <c r="AC19" s="63"/>
      <c r="AD19" s="64"/>
      <c r="AE19" s="65"/>
    </row>
    <row r="20" spans="2:31" x14ac:dyDescent="0.35">
      <c r="B20" s="2">
        <v>15</v>
      </c>
      <c r="C20" s="60" t="s">
        <v>222</v>
      </c>
      <c r="D20" s="67"/>
      <c r="E20" s="67"/>
      <c r="F20" s="67"/>
      <c r="G20" s="67"/>
      <c r="H20" s="67">
        <v>1</v>
      </c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>
        <v>1</v>
      </c>
      <c r="X20" s="24"/>
      <c r="Y20" s="24"/>
      <c r="Z20" s="24">
        <v>1</v>
      </c>
      <c r="AA20" s="24"/>
      <c r="AB20" s="62">
        <v>1</v>
      </c>
      <c r="AC20" s="63"/>
      <c r="AD20" s="64"/>
      <c r="AE20" s="65"/>
    </row>
    <row r="21" spans="2:31" x14ac:dyDescent="0.35">
      <c r="B21" s="2">
        <v>16</v>
      </c>
      <c r="C21" s="60" t="s">
        <v>223</v>
      </c>
      <c r="D21" s="67">
        <v>1</v>
      </c>
      <c r="E21" s="67"/>
      <c r="F21" s="67">
        <v>1</v>
      </c>
      <c r="G21" s="67">
        <v>1</v>
      </c>
      <c r="H21" s="67"/>
      <c r="I21" s="67"/>
      <c r="J21" s="67"/>
      <c r="K21" s="67">
        <v>1</v>
      </c>
      <c r="L21" s="67"/>
      <c r="M21" s="67"/>
      <c r="N21" s="67"/>
      <c r="O21" s="67">
        <v>1</v>
      </c>
      <c r="P21" s="67"/>
      <c r="Q21" s="67">
        <v>1</v>
      </c>
      <c r="R21" s="67">
        <v>1</v>
      </c>
      <c r="S21" s="67">
        <v>1</v>
      </c>
      <c r="T21" s="67"/>
      <c r="U21" s="67"/>
      <c r="V21" s="67"/>
      <c r="W21" s="67"/>
      <c r="X21" s="24"/>
      <c r="Y21" s="24"/>
      <c r="Z21" s="24">
        <v>1</v>
      </c>
      <c r="AA21" s="24"/>
      <c r="AB21" s="62">
        <v>1</v>
      </c>
      <c r="AC21" s="63"/>
      <c r="AD21" s="64"/>
      <c r="AE21" s="65"/>
    </row>
    <row r="22" spans="2:31" x14ac:dyDescent="0.35">
      <c r="B22" s="2">
        <v>17</v>
      </c>
      <c r="C22" s="60" t="s">
        <v>224</v>
      </c>
      <c r="D22" s="67"/>
      <c r="E22" s="67"/>
      <c r="F22" s="67"/>
      <c r="G22" s="67">
        <v>1</v>
      </c>
      <c r="H22" s="67">
        <v>1</v>
      </c>
      <c r="I22" s="67"/>
      <c r="J22" s="67"/>
      <c r="K22" s="67"/>
      <c r="L22" s="67"/>
      <c r="M22" s="67">
        <v>1</v>
      </c>
      <c r="N22" s="67">
        <v>1</v>
      </c>
      <c r="O22" s="67"/>
      <c r="P22" s="67"/>
      <c r="Q22" s="67"/>
      <c r="R22" s="67"/>
      <c r="S22" s="67"/>
      <c r="T22" s="67"/>
      <c r="U22" s="67"/>
      <c r="V22" s="67"/>
      <c r="W22" s="67"/>
      <c r="X22" s="24"/>
      <c r="Y22" s="24">
        <v>1</v>
      </c>
      <c r="Z22" s="24">
        <v>1</v>
      </c>
      <c r="AA22" s="24"/>
      <c r="AB22" s="62">
        <v>1</v>
      </c>
      <c r="AC22" s="63"/>
      <c r="AD22" s="64"/>
      <c r="AE22" s="65"/>
    </row>
    <row r="23" spans="2:31" x14ac:dyDescent="0.35">
      <c r="B23" s="2">
        <v>18</v>
      </c>
      <c r="C23" s="60" t="s">
        <v>225</v>
      </c>
      <c r="D23" s="67"/>
      <c r="E23" s="67"/>
      <c r="F23" s="67"/>
      <c r="G23" s="67">
        <v>1</v>
      </c>
      <c r="H23" s="67">
        <v>1</v>
      </c>
      <c r="I23" s="67"/>
      <c r="J23" s="67"/>
      <c r="K23" s="67"/>
      <c r="L23" s="67">
        <v>1</v>
      </c>
      <c r="M23" s="67"/>
      <c r="N23" s="67"/>
      <c r="O23" s="67"/>
      <c r="P23" s="67"/>
      <c r="Q23" s="67"/>
      <c r="R23" s="67"/>
      <c r="S23" s="67"/>
      <c r="T23" s="67"/>
      <c r="U23" s="67">
        <v>1</v>
      </c>
      <c r="V23" s="67"/>
      <c r="W23" s="67"/>
      <c r="X23" s="24"/>
      <c r="Y23" s="24">
        <v>1</v>
      </c>
      <c r="Z23" s="24">
        <v>1</v>
      </c>
      <c r="AA23" s="24"/>
      <c r="AB23" s="62">
        <v>1</v>
      </c>
      <c r="AC23" s="63"/>
      <c r="AD23" s="64"/>
      <c r="AE23" s="65"/>
    </row>
    <row r="24" spans="2:31" x14ac:dyDescent="0.35">
      <c r="B24" s="2"/>
      <c r="C24" s="60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24"/>
      <c r="Y24" s="24"/>
      <c r="Z24" s="24"/>
      <c r="AA24" s="24"/>
      <c r="AB24" s="62"/>
      <c r="AC24" s="63"/>
      <c r="AD24" s="64"/>
      <c r="AE24" s="65"/>
    </row>
    <row r="25" spans="2:31" x14ac:dyDescent="0.35">
      <c r="B25" s="2">
        <v>20</v>
      </c>
      <c r="C25" s="60" t="s">
        <v>226</v>
      </c>
      <c r="D25" s="67"/>
      <c r="E25" s="67"/>
      <c r="F25" s="67"/>
      <c r="G25" s="67"/>
      <c r="H25" s="67">
        <v>1</v>
      </c>
      <c r="I25" s="67">
        <v>1</v>
      </c>
      <c r="J25" s="67">
        <v>1</v>
      </c>
      <c r="K25" s="67"/>
      <c r="L25" s="67"/>
      <c r="M25" s="67"/>
      <c r="N25" s="67"/>
      <c r="O25" s="67">
        <v>1</v>
      </c>
      <c r="P25" s="67">
        <v>1</v>
      </c>
      <c r="Q25" s="67">
        <v>1</v>
      </c>
      <c r="R25" s="67">
        <v>1</v>
      </c>
      <c r="S25" s="67">
        <v>1</v>
      </c>
      <c r="T25" s="67"/>
      <c r="U25" s="67">
        <v>1</v>
      </c>
      <c r="V25" s="67">
        <v>1</v>
      </c>
      <c r="W25" s="67">
        <v>1</v>
      </c>
      <c r="X25" s="24"/>
      <c r="Y25" s="24"/>
      <c r="Z25" s="24">
        <v>1</v>
      </c>
      <c r="AA25" s="24"/>
      <c r="AB25" s="62"/>
      <c r="AC25" s="63">
        <v>1</v>
      </c>
      <c r="AD25" s="64"/>
      <c r="AE25" s="65"/>
    </row>
    <row r="26" spans="2:31" x14ac:dyDescent="0.35">
      <c r="B26" s="2">
        <v>21</v>
      </c>
      <c r="C26" s="60" t="s">
        <v>227</v>
      </c>
      <c r="D26" s="67"/>
      <c r="E26" s="67"/>
      <c r="F26" s="67"/>
      <c r="G26" s="67"/>
      <c r="H26" s="67"/>
      <c r="I26" s="67">
        <v>1</v>
      </c>
      <c r="J26" s="67">
        <v>1</v>
      </c>
      <c r="K26" s="67"/>
      <c r="L26" s="67"/>
      <c r="M26" s="67"/>
      <c r="N26" s="67"/>
      <c r="O26" s="67">
        <v>1</v>
      </c>
      <c r="P26" s="67">
        <v>1</v>
      </c>
      <c r="Q26" s="67">
        <v>1</v>
      </c>
      <c r="R26" s="67">
        <v>1</v>
      </c>
      <c r="S26" s="67">
        <v>1</v>
      </c>
      <c r="T26" s="67"/>
      <c r="U26" s="67"/>
      <c r="V26" s="67"/>
      <c r="W26" s="67">
        <v>1</v>
      </c>
      <c r="X26" s="24"/>
      <c r="Y26" s="24"/>
      <c r="Z26" s="24"/>
      <c r="AA26" s="24"/>
      <c r="AB26" s="62"/>
      <c r="AC26" s="63">
        <v>1</v>
      </c>
      <c r="AD26" s="64"/>
      <c r="AE26" s="65"/>
    </row>
    <row r="27" spans="2:31" x14ac:dyDescent="0.35">
      <c r="B27" s="2">
        <v>22</v>
      </c>
      <c r="C27" s="60" t="s">
        <v>228</v>
      </c>
      <c r="D27" s="67"/>
      <c r="E27" s="67"/>
      <c r="F27" s="67">
        <v>1</v>
      </c>
      <c r="G27" s="67">
        <v>1</v>
      </c>
      <c r="H27" s="67"/>
      <c r="I27" s="67">
        <v>1</v>
      </c>
      <c r="J27" s="67">
        <v>1</v>
      </c>
      <c r="K27" s="67"/>
      <c r="L27" s="67"/>
      <c r="M27" s="67"/>
      <c r="N27" s="67">
        <v>1</v>
      </c>
      <c r="O27" s="67">
        <v>1</v>
      </c>
      <c r="P27" s="67">
        <v>1</v>
      </c>
      <c r="Q27" s="67">
        <v>1</v>
      </c>
      <c r="R27" s="67">
        <v>1</v>
      </c>
      <c r="S27" s="67">
        <v>1</v>
      </c>
      <c r="T27" s="67">
        <v>1</v>
      </c>
      <c r="U27" s="67">
        <v>1</v>
      </c>
      <c r="V27" s="67">
        <v>1</v>
      </c>
      <c r="W27" s="67">
        <v>1</v>
      </c>
      <c r="X27" s="24"/>
      <c r="Y27" s="24"/>
      <c r="Z27" s="24">
        <v>1</v>
      </c>
      <c r="AA27" s="24"/>
      <c r="AB27" s="62"/>
      <c r="AC27" s="63">
        <v>1</v>
      </c>
      <c r="AD27" s="64"/>
      <c r="AE27" s="65"/>
    </row>
    <row r="28" spans="2:31" x14ac:dyDescent="0.35">
      <c r="B28" s="2">
        <v>23</v>
      </c>
      <c r="C28" s="60" t="s">
        <v>229</v>
      </c>
      <c r="D28" s="67"/>
      <c r="E28" s="67"/>
      <c r="F28" s="67">
        <v>1</v>
      </c>
      <c r="G28" s="67"/>
      <c r="H28" s="67">
        <v>1</v>
      </c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24"/>
      <c r="Y28" s="24"/>
      <c r="Z28" s="24"/>
      <c r="AA28" s="24"/>
      <c r="AB28" s="62"/>
      <c r="AC28" s="63">
        <v>1</v>
      </c>
      <c r="AD28" s="64"/>
      <c r="AE28" s="65"/>
    </row>
    <row r="29" spans="2:31" x14ac:dyDescent="0.35">
      <c r="B29" s="2">
        <v>24</v>
      </c>
      <c r="C29" s="60" t="s">
        <v>230</v>
      </c>
      <c r="D29" s="67"/>
      <c r="E29" s="67"/>
      <c r="F29" s="67"/>
      <c r="G29" s="67"/>
      <c r="H29" s="67"/>
      <c r="I29" s="67"/>
      <c r="J29" s="67"/>
      <c r="K29" s="67">
        <v>1</v>
      </c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24">
        <v>1</v>
      </c>
      <c r="Y29" s="24"/>
      <c r="Z29" s="24"/>
      <c r="AA29" s="24"/>
      <c r="AB29" s="62"/>
      <c r="AC29" s="63">
        <v>1</v>
      </c>
      <c r="AD29" s="64"/>
      <c r="AE29" s="65"/>
    </row>
    <row r="30" spans="2:31" x14ac:dyDescent="0.35">
      <c r="B30" s="2">
        <v>26</v>
      </c>
      <c r="C30" s="60" t="s">
        <v>231</v>
      </c>
      <c r="D30" s="67"/>
      <c r="E30" s="67"/>
      <c r="F30" s="67">
        <v>1</v>
      </c>
      <c r="G30" s="67">
        <v>1</v>
      </c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24"/>
      <c r="Y30" s="24"/>
      <c r="Z30" s="24">
        <v>1</v>
      </c>
      <c r="AA30" s="24">
        <v>1</v>
      </c>
      <c r="AB30" s="62"/>
      <c r="AC30" s="63">
        <v>1</v>
      </c>
      <c r="AD30" s="64"/>
      <c r="AE30" s="65"/>
    </row>
    <row r="31" spans="2:31" x14ac:dyDescent="0.35">
      <c r="B31" s="2">
        <v>27</v>
      </c>
      <c r="C31" s="60" t="s">
        <v>232</v>
      </c>
      <c r="D31" s="67"/>
      <c r="E31" s="67"/>
      <c r="F31" s="67">
        <v>1</v>
      </c>
      <c r="G31" s="67"/>
      <c r="H31" s="67">
        <v>1</v>
      </c>
      <c r="I31" s="67">
        <v>1</v>
      </c>
      <c r="J31" s="67">
        <v>1</v>
      </c>
      <c r="K31" s="67"/>
      <c r="L31" s="67">
        <v>1</v>
      </c>
      <c r="M31" s="67"/>
      <c r="N31" s="67"/>
      <c r="O31" s="67"/>
      <c r="P31" s="67"/>
      <c r="Q31" s="67"/>
      <c r="R31" s="67">
        <v>1</v>
      </c>
      <c r="S31" s="67">
        <v>1</v>
      </c>
      <c r="T31" s="67">
        <v>1</v>
      </c>
      <c r="U31" s="67">
        <v>1</v>
      </c>
      <c r="V31" s="67">
        <v>1</v>
      </c>
      <c r="W31" s="67">
        <v>1</v>
      </c>
      <c r="X31" s="24"/>
      <c r="Y31" s="24"/>
      <c r="Z31" s="24">
        <v>1</v>
      </c>
      <c r="AA31" s="24"/>
      <c r="AB31" s="62"/>
      <c r="AC31" s="63">
        <v>1</v>
      </c>
      <c r="AD31" s="64"/>
      <c r="AE31" s="65"/>
    </row>
    <row r="32" spans="2:31" x14ac:dyDescent="0.35">
      <c r="B32" s="2">
        <v>28</v>
      </c>
      <c r="C32" s="60" t="s">
        <v>233</v>
      </c>
      <c r="D32" s="67"/>
      <c r="E32" s="67"/>
      <c r="F32" s="67">
        <v>1</v>
      </c>
      <c r="G32" s="67">
        <v>1</v>
      </c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24"/>
      <c r="Y32" s="24"/>
      <c r="Z32" s="24">
        <v>1</v>
      </c>
      <c r="AA32" s="24">
        <v>1</v>
      </c>
      <c r="AB32" s="62"/>
      <c r="AC32" s="63">
        <v>1</v>
      </c>
      <c r="AD32" s="64"/>
      <c r="AE32" s="65"/>
    </row>
    <row r="33" spans="2:31" x14ac:dyDescent="0.35">
      <c r="B33" s="2">
        <v>29</v>
      </c>
      <c r="C33" s="60" t="s">
        <v>234</v>
      </c>
      <c r="D33" s="67"/>
      <c r="E33" s="67"/>
      <c r="F33" s="67">
        <v>1</v>
      </c>
      <c r="G33" s="67">
        <v>1</v>
      </c>
      <c r="H33" s="67">
        <v>1</v>
      </c>
      <c r="I33" s="67"/>
      <c r="J33" s="67">
        <v>1</v>
      </c>
      <c r="K33" s="67"/>
      <c r="L33" s="67">
        <v>1</v>
      </c>
      <c r="M33" s="67"/>
      <c r="N33" s="67">
        <v>1</v>
      </c>
      <c r="O33" s="67">
        <v>1</v>
      </c>
      <c r="P33" s="67">
        <v>1</v>
      </c>
      <c r="Q33" s="67">
        <v>1</v>
      </c>
      <c r="R33" s="67">
        <v>1</v>
      </c>
      <c r="S33" s="67">
        <v>1</v>
      </c>
      <c r="T33" s="67">
        <v>1</v>
      </c>
      <c r="U33" s="67">
        <v>1</v>
      </c>
      <c r="V33" s="67">
        <v>1</v>
      </c>
      <c r="W33" s="67">
        <v>1</v>
      </c>
      <c r="X33" s="24"/>
      <c r="Y33" s="24"/>
      <c r="Z33" s="24">
        <v>1</v>
      </c>
      <c r="AA33" s="24"/>
      <c r="AB33" s="62"/>
      <c r="AC33" s="63">
        <v>1</v>
      </c>
      <c r="AD33" s="64"/>
      <c r="AE33" s="65"/>
    </row>
    <row r="34" spans="2:31" x14ac:dyDescent="0.35">
      <c r="B34" s="2">
        <v>30</v>
      </c>
      <c r="C34" s="60" t="s">
        <v>235</v>
      </c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>
        <v>1</v>
      </c>
      <c r="P34" s="67">
        <v>1</v>
      </c>
      <c r="Q34" s="67">
        <v>1</v>
      </c>
      <c r="R34" s="67"/>
      <c r="S34" s="67"/>
      <c r="T34" s="67"/>
      <c r="U34" s="67"/>
      <c r="V34" s="67"/>
      <c r="W34" s="67"/>
      <c r="X34" s="24">
        <v>1</v>
      </c>
      <c r="Y34" s="24"/>
      <c r="Z34" s="24">
        <v>1</v>
      </c>
      <c r="AA34" s="24"/>
      <c r="AB34" s="62"/>
      <c r="AC34" s="63">
        <v>1</v>
      </c>
      <c r="AD34" s="64"/>
      <c r="AE34" s="65"/>
    </row>
    <row r="35" spans="2:31" x14ac:dyDescent="0.35">
      <c r="B35" s="2">
        <v>31</v>
      </c>
      <c r="C35" s="60" t="s">
        <v>236</v>
      </c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>
        <v>1</v>
      </c>
      <c r="O35" s="67"/>
      <c r="P35" s="67"/>
      <c r="Q35" s="67"/>
      <c r="R35" s="67"/>
      <c r="S35" s="67"/>
      <c r="T35" s="67"/>
      <c r="U35" s="67"/>
      <c r="V35" s="67"/>
      <c r="W35" s="67"/>
      <c r="X35" s="24">
        <v>1</v>
      </c>
      <c r="Y35" s="24"/>
      <c r="Z35" s="24">
        <v>1</v>
      </c>
      <c r="AA35" s="24"/>
      <c r="AB35" s="62"/>
      <c r="AC35" s="63">
        <v>1</v>
      </c>
      <c r="AD35" s="64"/>
      <c r="AE35" s="65"/>
    </row>
    <row r="36" spans="2:31" x14ac:dyDescent="0.35">
      <c r="B36" s="2">
        <v>32</v>
      </c>
      <c r="C36" s="60" t="s">
        <v>237</v>
      </c>
      <c r="D36" s="67"/>
      <c r="E36" s="67"/>
      <c r="F36" s="67">
        <v>1</v>
      </c>
      <c r="G36" s="67">
        <v>1</v>
      </c>
      <c r="H36" s="67">
        <v>1</v>
      </c>
      <c r="I36" s="67">
        <v>1</v>
      </c>
      <c r="J36" s="67">
        <v>1</v>
      </c>
      <c r="K36" s="67"/>
      <c r="L36" s="67"/>
      <c r="M36" s="67"/>
      <c r="N36" s="67">
        <v>1</v>
      </c>
      <c r="O36" s="67">
        <v>1</v>
      </c>
      <c r="P36" s="67">
        <v>1</v>
      </c>
      <c r="Q36" s="67">
        <v>1</v>
      </c>
      <c r="R36" s="67">
        <v>1</v>
      </c>
      <c r="S36" s="67">
        <v>1</v>
      </c>
      <c r="T36" s="67">
        <v>1</v>
      </c>
      <c r="U36" s="67">
        <v>1</v>
      </c>
      <c r="V36" s="67">
        <v>1</v>
      </c>
      <c r="W36" s="67">
        <v>1</v>
      </c>
      <c r="X36" s="24"/>
      <c r="Y36" s="24"/>
      <c r="Z36" s="24">
        <v>1</v>
      </c>
      <c r="AA36" s="24">
        <v>1</v>
      </c>
      <c r="AB36" s="62"/>
      <c r="AC36" s="63">
        <v>1</v>
      </c>
      <c r="AD36" s="64"/>
      <c r="AE36" s="65"/>
    </row>
    <row r="37" spans="2:31" x14ac:dyDescent="0.35">
      <c r="B37" s="2">
        <v>33</v>
      </c>
      <c r="C37" s="60" t="s">
        <v>238</v>
      </c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24">
        <v>1</v>
      </c>
      <c r="Y37" s="24"/>
      <c r="Z37" s="24">
        <v>1</v>
      </c>
      <c r="AA37" s="24"/>
      <c r="AB37" s="62"/>
      <c r="AC37" s="63">
        <v>1</v>
      </c>
      <c r="AD37" s="64"/>
      <c r="AE37" s="65"/>
    </row>
    <row r="38" spans="2:31" x14ac:dyDescent="0.35">
      <c r="B38" s="2"/>
      <c r="C38" s="60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24"/>
      <c r="Y38" s="24"/>
      <c r="Z38" s="24"/>
      <c r="AA38" s="24"/>
      <c r="AB38" s="62"/>
      <c r="AC38" s="63"/>
      <c r="AD38" s="64"/>
      <c r="AE38" s="65"/>
    </row>
    <row r="39" spans="2:31" x14ac:dyDescent="0.35">
      <c r="B39" s="2">
        <v>34</v>
      </c>
      <c r="C39" s="60" t="s">
        <v>239</v>
      </c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24"/>
      <c r="Y39" s="24"/>
      <c r="Z39" s="24">
        <v>1</v>
      </c>
      <c r="AA39" s="24"/>
      <c r="AB39" s="62"/>
      <c r="AC39" s="63"/>
      <c r="AD39" s="64">
        <v>1</v>
      </c>
      <c r="AE39" s="65"/>
    </row>
    <row r="40" spans="2:31" x14ac:dyDescent="0.35">
      <c r="B40" s="2">
        <v>36</v>
      </c>
      <c r="C40" s="60" t="s">
        <v>240</v>
      </c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24"/>
      <c r="Y40" s="24"/>
      <c r="Z40" s="24">
        <v>1</v>
      </c>
      <c r="AA40" s="24"/>
      <c r="AB40" s="62"/>
      <c r="AC40" s="63"/>
      <c r="AD40" s="64">
        <v>1</v>
      </c>
      <c r="AE40" s="65"/>
    </row>
    <row r="41" spans="2:31" x14ac:dyDescent="0.35">
      <c r="B41" s="2">
        <v>37</v>
      </c>
      <c r="C41" s="60" t="s">
        <v>241</v>
      </c>
      <c r="D41" s="67"/>
      <c r="E41" s="67"/>
      <c r="F41" s="67"/>
      <c r="G41" s="67"/>
      <c r="H41" s="67"/>
      <c r="I41" s="67"/>
      <c r="J41" s="67">
        <v>1</v>
      </c>
      <c r="K41" s="67"/>
      <c r="L41" s="67"/>
      <c r="M41" s="67"/>
      <c r="N41" s="67"/>
      <c r="O41" s="67"/>
      <c r="P41" s="67"/>
      <c r="Q41" s="67"/>
      <c r="R41" s="67">
        <v>1</v>
      </c>
      <c r="S41" s="67">
        <v>1</v>
      </c>
      <c r="T41" s="67">
        <v>1</v>
      </c>
      <c r="U41" s="67">
        <v>1</v>
      </c>
      <c r="V41" s="67">
        <v>1</v>
      </c>
      <c r="W41" s="67">
        <v>1</v>
      </c>
      <c r="X41" s="24"/>
      <c r="Y41" s="24"/>
      <c r="Z41" s="24">
        <v>1</v>
      </c>
      <c r="AA41" s="24"/>
      <c r="AB41" s="62"/>
      <c r="AC41" s="63"/>
      <c r="AD41" s="64">
        <v>1</v>
      </c>
      <c r="AE41" s="65"/>
    </row>
    <row r="42" spans="2:31" x14ac:dyDescent="0.35">
      <c r="B42" s="2">
        <v>39</v>
      </c>
      <c r="C42" s="60" t="s">
        <v>242</v>
      </c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>
        <v>1</v>
      </c>
      <c r="R42" s="67"/>
      <c r="S42" s="67"/>
      <c r="T42" s="67"/>
      <c r="U42" s="67"/>
      <c r="V42" s="67"/>
      <c r="W42" s="67"/>
      <c r="X42" s="24">
        <v>1</v>
      </c>
      <c r="Y42" s="24"/>
      <c r="Z42" s="24">
        <v>1</v>
      </c>
      <c r="AA42" s="24"/>
      <c r="AB42" s="62"/>
      <c r="AC42" s="63"/>
      <c r="AD42" s="64">
        <v>1</v>
      </c>
      <c r="AE42" s="65"/>
    </row>
    <row r="43" spans="2:31" x14ac:dyDescent="0.35">
      <c r="B43" s="2">
        <v>40</v>
      </c>
      <c r="C43" s="60" t="s">
        <v>243</v>
      </c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24"/>
      <c r="Y43" s="24"/>
      <c r="Z43" s="24">
        <v>1</v>
      </c>
      <c r="AA43" s="24"/>
      <c r="AB43" s="62"/>
      <c r="AC43" s="63"/>
      <c r="AD43" s="64">
        <v>1</v>
      </c>
      <c r="AE43" s="65"/>
    </row>
    <row r="44" spans="2:31" x14ac:dyDescent="0.35">
      <c r="B44" s="2">
        <v>41</v>
      </c>
      <c r="C44" s="60" t="s">
        <v>244</v>
      </c>
      <c r="D44" s="67"/>
      <c r="E44" s="67"/>
      <c r="F44" s="67"/>
      <c r="G44" s="67">
        <v>1</v>
      </c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24">
        <v>1</v>
      </c>
      <c r="Y44" s="24"/>
      <c r="Z44" s="24">
        <v>1</v>
      </c>
      <c r="AA44" s="24"/>
      <c r="AB44" s="62"/>
      <c r="AC44" s="63"/>
      <c r="AD44" s="64">
        <v>1</v>
      </c>
      <c r="AE44" s="65"/>
    </row>
    <row r="45" spans="2:31" x14ac:dyDescent="0.35">
      <c r="B45" s="2">
        <v>42</v>
      </c>
      <c r="C45" s="60" t="s">
        <v>245</v>
      </c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24"/>
      <c r="Y45" s="24"/>
      <c r="Z45" s="24">
        <v>1</v>
      </c>
      <c r="AA45" s="24"/>
      <c r="AB45" s="62"/>
      <c r="AC45" s="63"/>
      <c r="AD45" s="64">
        <v>1</v>
      </c>
      <c r="AE45" s="65"/>
    </row>
    <row r="46" spans="2:31" x14ac:dyDescent="0.35">
      <c r="B46" s="2">
        <v>43</v>
      </c>
      <c r="C46" s="60" t="s">
        <v>246</v>
      </c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24"/>
      <c r="Y46" s="24"/>
      <c r="Z46" s="24">
        <v>1</v>
      </c>
      <c r="AA46" s="24"/>
      <c r="AB46" s="62"/>
      <c r="AC46" s="63"/>
      <c r="AD46" s="64">
        <v>1</v>
      </c>
      <c r="AE46" s="65"/>
    </row>
    <row r="47" spans="2:31" x14ac:dyDescent="0.35">
      <c r="B47" s="2">
        <v>44</v>
      </c>
      <c r="C47" s="60" t="s">
        <v>247</v>
      </c>
      <c r="D47" s="67"/>
      <c r="E47" s="67"/>
      <c r="F47" s="67"/>
      <c r="G47" s="67"/>
      <c r="H47" s="67"/>
      <c r="I47" s="67"/>
      <c r="J47" s="67">
        <v>1</v>
      </c>
      <c r="K47" s="67"/>
      <c r="L47" s="67"/>
      <c r="M47" s="67"/>
      <c r="N47" s="67"/>
      <c r="O47" s="67"/>
      <c r="P47" s="67"/>
      <c r="Q47" s="67"/>
      <c r="R47" s="67">
        <v>1</v>
      </c>
      <c r="S47" s="67">
        <v>1</v>
      </c>
      <c r="T47" s="67">
        <v>1</v>
      </c>
      <c r="U47" s="67">
        <v>1</v>
      </c>
      <c r="V47" s="67">
        <v>1</v>
      </c>
      <c r="W47" s="67">
        <v>1</v>
      </c>
      <c r="X47" s="24"/>
      <c r="Y47" s="24"/>
      <c r="Z47" s="24">
        <v>1</v>
      </c>
      <c r="AA47" s="24"/>
      <c r="AB47" s="62"/>
      <c r="AC47" s="63"/>
      <c r="AD47" s="64">
        <v>1</v>
      </c>
      <c r="AE47" s="65"/>
    </row>
    <row r="48" spans="2:31" x14ac:dyDescent="0.35">
      <c r="B48" s="2"/>
      <c r="C48" s="60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24"/>
      <c r="Y48" s="24"/>
      <c r="Z48" s="24">
        <v>1</v>
      </c>
      <c r="AA48" s="24"/>
      <c r="AB48" s="62"/>
      <c r="AC48" s="63"/>
      <c r="AD48" s="64"/>
      <c r="AE48" s="65"/>
    </row>
    <row r="49" spans="2:31" x14ac:dyDescent="0.35">
      <c r="B49" s="2">
        <v>46</v>
      </c>
      <c r="C49" s="60" t="s">
        <v>248</v>
      </c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24">
        <v>1</v>
      </c>
      <c r="Y49" s="24"/>
      <c r="Z49" s="24"/>
      <c r="AA49" s="24"/>
      <c r="AB49" s="62"/>
      <c r="AC49" s="63"/>
      <c r="AD49" s="64"/>
      <c r="AE49" s="65">
        <v>1</v>
      </c>
    </row>
    <row r="50" spans="2:31" x14ac:dyDescent="0.35">
      <c r="B50" s="2">
        <v>47</v>
      </c>
      <c r="C50" s="60" t="s">
        <v>249</v>
      </c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24"/>
      <c r="Y50" s="24"/>
      <c r="Z50" s="24"/>
      <c r="AA50" s="24"/>
      <c r="AB50" s="62"/>
      <c r="AC50" s="63"/>
      <c r="AD50" s="64"/>
      <c r="AE50" s="65">
        <v>1</v>
      </c>
    </row>
    <row r="51" spans="2:31" x14ac:dyDescent="0.35">
      <c r="B51" s="2">
        <v>48</v>
      </c>
      <c r="C51" s="60" t="s">
        <v>250</v>
      </c>
      <c r="D51" s="67"/>
      <c r="E51" s="67"/>
      <c r="F51" s="67">
        <v>1</v>
      </c>
      <c r="G51" s="67">
        <v>1</v>
      </c>
      <c r="H51" s="67"/>
      <c r="I51" s="67">
        <v>1</v>
      </c>
      <c r="J51" s="67"/>
      <c r="K51" s="67"/>
      <c r="L51" s="67">
        <v>1</v>
      </c>
      <c r="M51" s="67"/>
      <c r="N51" s="67"/>
      <c r="O51" s="67"/>
      <c r="P51" s="67">
        <v>1</v>
      </c>
      <c r="Q51" s="67"/>
      <c r="R51" s="67"/>
      <c r="S51" s="67"/>
      <c r="T51" s="67"/>
      <c r="U51" s="67">
        <v>1</v>
      </c>
      <c r="V51" s="67"/>
      <c r="W51" s="67">
        <v>1</v>
      </c>
      <c r="X51" s="24"/>
      <c r="Y51" s="24"/>
      <c r="Z51" s="24"/>
      <c r="AA51" s="24"/>
      <c r="AB51" s="62"/>
      <c r="AC51" s="63"/>
      <c r="AD51" s="64"/>
      <c r="AE51" s="65">
        <v>1</v>
      </c>
    </row>
    <row r="52" spans="2:31" x14ac:dyDescent="0.35">
      <c r="B52" s="2">
        <v>49</v>
      </c>
      <c r="C52" s="60" t="s">
        <v>251</v>
      </c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24">
        <v>1</v>
      </c>
      <c r="Y52" s="24"/>
      <c r="Z52" s="24"/>
      <c r="AA52" s="24"/>
      <c r="AB52" s="62"/>
      <c r="AC52" s="63"/>
      <c r="AD52" s="64"/>
      <c r="AE52" s="65">
        <v>1</v>
      </c>
    </row>
    <row r="53" spans="2:31" x14ac:dyDescent="0.35">
      <c r="B53" s="2">
        <v>51</v>
      </c>
      <c r="C53" s="60" t="s">
        <v>252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24">
        <v>1</v>
      </c>
      <c r="Y53" s="24"/>
      <c r="Z53" s="24"/>
      <c r="AA53" s="24"/>
      <c r="AB53" s="62"/>
      <c r="AC53" s="63"/>
      <c r="AD53" s="64"/>
      <c r="AE53" s="65">
        <v>1</v>
      </c>
    </row>
    <row r="54" spans="2:31" x14ac:dyDescent="0.35">
      <c r="B54" s="2">
        <v>53</v>
      </c>
      <c r="C54" s="60" t="s">
        <v>253</v>
      </c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24"/>
      <c r="Y54" s="24"/>
      <c r="Z54" s="24"/>
      <c r="AA54" s="24"/>
      <c r="AB54" s="62"/>
      <c r="AC54" s="63"/>
      <c r="AD54" s="64"/>
      <c r="AE54" s="65">
        <v>1</v>
      </c>
    </row>
    <row r="55" spans="2:31" x14ac:dyDescent="0.35">
      <c r="B55" s="2">
        <v>55</v>
      </c>
      <c r="C55" s="60" t="s">
        <v>254</v>
      </c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24">
        <v>1</v>
      </c>
      <c r="Y55" s="24"/>
      <c r="Z55" s="24"/>
      <c r="AA55" s="24"/>
      <c r="AB55" s="62"/>
      <c r="AC55" s="63"/>
      <c r="AD55" s="64"/>
      <c r="AE55" s="65">
        <v>1</v>
      </c>
    </row>
    <row r="56" spans="2:31" x14ac:dyDescent="0.35">
      <c r="B56" s="2">
        <v>56</v>
      </c>
      <c r="C56" s="60" t="s">
        <v>255</v>
      </c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24">
        <v>1</v>
      </c>
      <c r="Y56" s="24"/>
      <c r="Z56" s="24"/>
      <c r="AA56" s="24"/>
      <c r="AB56" s="62"/>
      <c r="AC56" s="63"/>
      <c r="AD56" s="64"/>
      <c r="AE56" s="65">
        <v>1</v>
      </c>
    </row>
    <row r="57" spans="2:31" x14ac:dyDescent="0.35">
      <c r="B57" s="2">
        <v>57</v>
      </c>
      <c r="C57" s="60" t="s">
        <v>256</v>
      </c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23">
        <v>1</v>
      </c>
      <c r="Y57" s="23"/>
      <c r="Z57" s="23"/>
      <c r="AA57" s="23"/>
      <c r="AB57" s="62"/>
      <c r="AC57" s="63"/>
      <c r="AD57" s="64"/>
      <c r="AE57" s="65">
        <v>1</v>
      </c>
    </row>
    <row r="58" spans="2:31" x14ac:dyDescent="0.35">
      <c r="B58" s="2">
        <v>58</v>
      </c>
      <c r="C58" s="60" t="s">
        <v>257</v>
      </c>
      <c r="D58" s="67"/>
      <c r="E58" s="67"/>
      <c r="F58" s="67">
        <v>1</v>
      </c>
      <c r="G58" s="67"/>
      <c r="H58" s="67"/>
      <c r="I58" s="67">
        <v>1</v>
      </c>
      <c r="J58" s="67"/>
      <c r="K58" s="67"/>
      <c r="L58" s="67">
        <v>1</v>
      </c>
      <c r="M58" s="67"/>
      <c r="N58" s="67"/>
      <c r="O58" s="67"/>
      <c r="P58" s="67">
        <v>1</v>
      </c>
      <c r="Q58" s="67"/>
      <c r="R58" s="67"/>
      <c r="S58" s="67"/>
      <c r="T58" s="67"/>
      <c r="U58" s="67">
        <v>1</v>
      </c>
      <c r="V58" s="67"/>
      <c r="W58" s="67">
        <v>1</v>
      </c>
      <c r="X58" s="23">
        <v>1</v>
      </c>
      <c r="Y58" s="23"/>
      <c r="Z58" s="23"/>
      <c r="AA58" s="23"/>
      <c r="AB58" s="62"/>
      <c r="AC58" s="63"/>
      <c r="AD58" s="64"/>
      <c r="AE58" s="65">
        <v>1</v>
      </c>
    </row>
  </sheetData>
  <phoneticPr fontId="2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3478-3733-4017-B296-4AABDDCCDAA2}">
  <sheetPr>
    <tabColor theme="4"/>
  </sheetPr>
  <dimension ref="A2:AH47"/>
  <sheetViews>
    <sheetView showGridLines="0" zoomScale="42" zoomScaleNormal="7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C29" sqref="C29"/>
    </sheetView>
  </sheetViews>
  <sheetFormatPr defaultRowHeight="14.5" x14ac:dyDescent="0.35"/>
  <cols>
    <col min="1" max="1" width="4.90625" customWidth="1"/>
    <col min="2" max="2" width="4.90625" bestFit="1" customWidth="1"/>
    <col min="3" max="3" width="66.453125" bestFit="1" customWidth="1"/>
    <col min="4" max="23" width="10.08984375" customWidth="1"/>
  </cols>
  <sheetData>
    <row r="2" spans="1:34" ht="18.5" x14ac:dyDescent="0.45">
      <c r="A2" s="19" t="s">
        <v>258</v>
      </c>
      <c r="B2" s="19"/>
      <c r="C2" s="7"/>
    </row>
    <row r="4" spans="1:34" ht="21" x14ac:dyDescent="0.5">
      <c r="D4" s="27" t="s">
        <v>11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Y4" s="115" t="s">
        <v>283</v>
      </c>
      <c r="Z4" s="116"/>
      <c r="AA4" s="117">
        <v>0.03</v>
      </c>
    </row>
    <row r="5" spans="1:34" ht="51" x14ac:dyDescent="0.45">
      <c r="B5" s="29" t="s">
        <v>186</v>
      </c>
      <c r="C5" s="30" t="s">
        <v>259</v>
      </c>
      <c r="D5" s="31" t="s">
        <v>188</v>
      </c>
      <c r="E5" s="31" t="s">
        <v>189</v>
      </c>
      <c r="F5" s="31" t="s">
        <v>190</v>
      </c>
      <c r="G5" s="31" t="s">
        <v>191</v>
      </c>
      <c r="H5" s="31" t="s">
        <v>192</v>
      </c>
      <c r="I5" s="31" t="s">
        <v>193</v>
      </c>
      <c r="J5" s="31" t="s">
        <v>194</v>
      </c>
      <c r="K5" s="31" t="s">
        <v>195</v>
      </c>
      <c r="L5" s="31" t="s">
        <v>196</v>
      </c>
      <c r="M5" s="31" t="s">
        <v>197</v>
      </c>
      <c r="N5" s="31" t="s">
        <v>198</v>
      </c>
      <c r="O5" s="31" t="s">
        <v>199</v>
      </c>
      <c r="P5" s="31" t="s">
        <v>200</v>
      </c>
      <c r="Q5" s="31" t="s">
        <v>201</v>
      </c>
      <c r="R5" s="31" t="s">
        <v>202</v>
      </c>
      <c r="S5" s="31" t="s">
        <v>203</v>
      </c>
      <c r="T5" s="31" t="s">
        <v>204</v>
      </c>
      <c r="U5" s="31" t="s">
        <v>205</v>
      </c>
      <c r="V5" s="31" t="s">
        <v>206</v>
      </c>
      <c r="W5" s="32" t="s">
        <v>207</v>
      </c>
      <c r="X5" s="25"/>
      <c r="Y5">
        <v>1</v>
      </c>
      <c r="Z5">
        <v>2</v>
      </c>
      <c r="AA5">
        <v>3</v>
      </c>
      <c r="AB5">
        <v>4</v>
      </c>
      <c r="AC5">
        <v>5</v>
      </c>
      <c r="AD5">
        <v>6</v>
      </c>
      <c r="AE5">
        <v>7</v>
      </c>
      <c r="AF5">
        <v>8</v>
      </c>
      <c r="AG5">
        <v>9</v>
      </c>
      <c r="AH5">
        <v>10</v>
      </c>
    </row>
    <row r="6" spans="1:34" ht="18.5" x14ac:dyDescent="0.45">
      <c r="B6" s="33">
        <v>1</v>
      </c>
      <c r="C6" s="34" t="s">
        <v>260</v>
      </c>
      <c r="D6" s="113">
        <v>3.1830412810920699E-3</v>
      </c>
      <c r="E6" s="113">
        <v>7.73446216446807E-2</v>
      </c>
      <c r="F6" s="113">
        <v>4.71549517621579E-2</v>
      </c>
      <c r="G6" s="113">
        <v>2.4578329067401702E-2</v>
      </c>
      <c r="H6" s="113">
        <v>0.49501214149766998</v>
      </c>
      <c r="I6" s="113">
        <v>6.2020082693443604E-3</v>
      </c>
      <c r="J6" s="113">
        <v>9.6803832775480703E-3</v>
      </c>
      <c r="K6" s="113">
        <v>4.5612653409463797E-3</v>
      </c>
      <c r="L6" s="113">
        <v>1.46682417798779E-2</v>
      </c>
      <c r="M6" s="113">
        <v>1.75559493338583E-2</v>
      </c>
      <c r="N6" s="113">
        <v>1.7884097919537899E-2</v>
      </c>
      <c r="O6" s="113">
        <v>1.4011944608518701E-2</v>
      </c>
      <c r="P6" s="113">
        <v>1.0861718185994599E-2</v>
      </c>
      <c r="Q6" s="113">
        <v>8.3677889348296904E-3</v>
      </c>
      <c r="R6" s="113">
        <v>4.6367395156526797E-2</v>
      </c>
      <c r="S6" s="113">
        <v>2.1329658069173698E-3</v>
      </c>
      <c r="T6" s="113">
        <v>0.102874581610553</v>
      </c>
      <c r="U6" s="113">
        <v>5.1519327951696503E-3</v>
      </c>
      <c r="V6" s="113">
        <v>2.62847017129356E-2</v>
      </c>
      <c r="W6" s="114">
        <v>6.6121940014438496E-2</v>
      </c>
      <c r="X6" s="26">
        <f>SUM(D6:W6)</f>
        <v>0.99999999999999911</v>
      </c>
      <c r="Y6" s="61">
        <f>LARGE($D6:$W6,Y$5)</f>
        <v>0.49501214149766998</v>
      </c>
      <c r="Z6" s="61">
        <f>LARGE($D6:$W6,Z$5)</f>
        <v>0.102874581610553</v>
      </c>
      <c r="AA6" s="61">
        <f>LARGE($D6:$W6,AA$5)</f>
        <v>7.73446216446807E-2</v>
      </c>
      <c r="AB6" s="61">
        <f>LARGE($D6:$W6,AB$5)</f>
        <v>6.6121940014438496E-2</v>
      </c>
      <c r="AC6" s="61">
        <f>LARGE($D6:$W6,AC$5)</f>
        <v>4.71549517621579E-2</v>
      </c>
      <c r="AD6" s="61">
        <f t="shared" ref="AD6:AH21" si="0">LARGE($D6:$W6,AD$5)</f>
        <v>4.6367395156526797E-2</v>
      </c>
      <c r="AE6" s="61">
        <f t="shared" si="0"/>
        <v>2.62847017129356E-2</v>
      </c>
      <c r="AF6" s="61">
        <f t="shared" si="0"/>
        <v>2.4578329067401702E-2</v>
      </c>
      <c r="AG6" s="61">
        <f t="shared" si="0"/>
        <v>1.7884097919537899E-2</v>
      </c>
      <c r="AH6" s="61">
        <f>LARGE($D6:$W6,AH$5)</f>
        <v>1.75559493338583E-2</v>
      </c>
    </row>
    <row r="7" spans="1:34" ht="18.5" x14ac:dyDescent="0.45">
      <c r="B7" s="33">
        <v>2</v>
      </c>
      <c r="C7" s="34" t="s">
        <v>261</v>
      </c>
      <c r="D7" s="113">
        <v>1.38888888888888E-2</v>
      </c>
      <c r="E7" s="113">
        <v>4.1666666666666602E-2</v>
      </c>
      <c r="F7" s="113">
        <v>1.75925925925925E-2</v>
      </c>
      <c r="G7" s="113">
        <v>0.61725589225589195</v>
      </c>
      <c r="H7" s="113">
        <v>6.9107744107744104E-2</v>
      </c>
      <c r="I7" s="113">
        <v>3.4764309764309699E-2</v>
      </c>
      <c r="J7" s="113">
        <v>1.13636363636363E-2</v>
      </c>
      <c r="K7" s="113">
        <v>1.2037037037037001E-2</v>
      </c>
      <c r="L7" s="113">
        <v>6.1447811447811404E-3</v>
      </c>
      <c r="M7" s="113">
        <v>6.1447811447811404E-3</v>
      </c>
      <c r="N7" s="113">
        <v>2.1632996632996601E-2</v>
      </c>
      <c r="O7" s="113">
        <v>6.6498316498316496E-3</v>
      </c>
      <c r="P7" s="113">
        <v>3.2070707070707E-2</v>
      </c>
      <c r="Q7" s="113">
        <v>4.9663299663299599E-3</v>
      </c>
      <c r="R7" s="113">
        <v>1.05218855218855E-2</v>
      </c>
      <c r="S7" s="113">
        <v>8.6700336700336698E-3</v>
      </c>
      <c r="T7" s="113">
        <v>1.1868686868686799E-2</v>
      </c>
      <c r="U7" s="113">
        <v>2.19696969696969E-2</v>
      </c>
      <c r="V7" s="113">
        <v>6.1447811447811404E-3</v>
      </c>
      <c r="W7" s="114">
        <v>4.5538720538720497E-2</v>
      </c>
      <c r="X7" s="26">
        <f t="shared" ref="X7:X35" si="1">SUM(D7:W7)</f>
        <v>0.999999999999999</v>
      </c>
      <c r="Y7" s="61">
        <f t="shared" ref="Y7:AH35" si="2">LARGE($D7:$W7,Y$5)</f>
        <v>0.61725589225589195</v>
      </c>
      <c r="Z7" s="61">
        <f t="shared" si="2"/>
        <v>6.9107744107744104E-2</v>
      </c>
      <c r="AA7" s="61">
        <f t="shared" si="2"/>
        <v>4.5538720538720497E-2</v>
      </c>
      <c r="AB7" s="61">
        <f t="shared" si="2"/>
        <v>4.1666666666666602E-2</v>
      </c>
      <c r="AC7" s="61">
        <f t="shared" si="2"/>
        <v>3.4764309764309699E-2</v>
      </c>
      <c r="AD7" s="61">
        <f t="shared" si="0"/>
        <v>3.2070707070707E-2</v>
      </c>
      <c r="AE7" s="61">
        <f t="shared" si="0"/>
        <v>2.19696969696969E-2</v>
      </c>
      <c r="AF7" s="61">
        <f t="shared" si="0"/>
        <v>2.1632996632996601E-2</v>
      </c>
      <c r="AG7" s="61">
        <f t="shared" si="0"/>
        <v>1.75925925925925E-2</v>
      </c>
      <c r="AH7" s="61">
        <f t="shared" si="0"/>
        <v>1.38888888888888E-2</v>
      </c>
    </row>
    <row r="8" spans="1:34" ht="18.5" x14ac:dyDescent="0.45">
      <c r="B8" s="33">
        <v>3</v>
      </c>
      <c r="C8" s="34" t="s">
        <v>262</v>
      </c>
      <c r="D8" s="113">
        <v>1.383547008547E-2</v>
      </c>
      <c r="E8" s="113">
        <v>7.4091880341880301E-2</v>
      </c>
      <c r="F8" s="113">
        <v>6.6773504273504201E-3</v>
      </c>
      <c r="G8" s="113">
        <v>0.62003205128205097</v>
      </c>
      <c r="H8" s="113">
        <v>9.8130341880341906E-2</v>
      </c>
      <c r="I8" s="113">
        <v>2.60149572649572E-2</v>
      </c>
      <c r="J8" s="113">
        <v>7.4252136752136697E-3</v>
      </c>
      <c r="K8" s="113">
        <v>5.6089743589743599E-3</v>
      </c>
      <c r="L8" s="113">
        <v>5.39529914529914E-3</v>
      </c>
      <c r="M8" s="113">
        <v>5.6089743589743599E-3</v>
      </c>
      <c r="N8" s="113">
        <v>4.00641025641025E-3</v>
      </c>
      <c r="O8" s="113">
        <v>1.1591880341880301E-2</v>
      </c>
      <c r="P8" s="113">
        <v>5.2884615384615396E-3</v>
      </c>
      <c r="Q8" s="113">
        <v>5.39529914529914E-3</v>
      </c>
      <c r="R8" s="113">
        <v>1.76816239316239E-2</v>
      </c>
      <c r="S8" s="113">
        <v>3.4722222222222199E-3</v>
      </c>
      <c r="T8" s="113">
        <v>1.35149572649572E-2</v>
      </c>
      <c r="U8" s="113">
        <v>2.60149572649572E-2</v>
      </c>
      <c r="V8" s="113">
        <v>9.1346153846153799E-3</v>
      </c>
      <c r="W8" s="114">
        <v>4.1079059829059801E-2</v>
      </c>
      <c r="X8" s="26">
        <f t="shared" si="1"/>
        <v>0.999999999999999</v>
      </c>
      <c r="Y8" s="61">
        <f t="shared" si="2"/>
        <v>0.62003205128205097</v>
      </c>
      <c r="Z8" s="61">
        <f t="shared" si="2"/>
        <v>9.8130341880341906E-2</v>
      </c>
      <c r="AA8" s="61">
        <f t="shared" si="2"/>
        <v>7.4091880341880301E-2</v>
      </c>
      <c r="AB8" s="61">
        <f t="shared" si="2"/>
        <v>4.1079059829059801E-2</v>
      </c>
      <c r="AC8" s="61">
        <f t="shared" si="2"/>
        <v>2.60149572649572E-2</v>
      </c>
      <c r="AD8" s="61">
        <f t="shared" si="0"/>
        <v>2.60149572649572E-2</v>
      </c>
      <c r="AE8" s="61">
        <f t="shared" si="0"/>
        <v>1.76816239316239E-2</v>
      </c>
      <c r="AF8" s="61">
        <f t="shared" si="0"/>
        <v>1.383547008547E-2</v>
      </c>
      <c r="AG8" s="61">
        <f t="shared" si="0"/>
        <v>1.35149572649572E-2</v>
      </c>
      <c r="AH8" s="61">
        <f t="shared" si="0"/>
        <v>1.1591880341880301E-2</v>
      </c>
    </row>
    <row r="9" spans="1:34" ht="18.5" x14ac:dyDescent="0.45">
      <c r="B9" s="33">
        <v>4</v>
      </c>
      <c r="C9" s="34" t="s">
        <v>30</v>
      </c>
      <c r="D9" s="113">
        <v>1.19714847590953E-2</v>
      </c>
      <c r="E9" s="113">
        <v>8.3013765978367696E-2</v>
      </c>
      <c r="F9" s="113">
        <v>0.10744837758112</v>
      </c>
      <c r="G9" s="113">
        <v>1.4773844641101199E-2</v>
      </c>
      <c r="H9" s="113">
        <v>7.9031465093411996E-2</v>
      </c>
      <c r="I9" s="113">
        <v>3.1981317600786603E-2</v>
      </c>
      <c r="J9" s="113">
        <v>3.9085545722713803E-3</v>
      </c>
      <c r="K9" s="113">
        <v>4.1543756145525999E-3</v>
      </c>
      <c r="L9" s="113">
        <v>5.9242871189773803E-3</v>
      </c>
      <c r="M9" s="113">
        <v>1.19223205506391E-2</v>
      </c>
      <c r="N9" s="113">
        <v>1.30039331366765E-2</v>
      </c>
      <c r="O9" s="113">
        <v>1.4773844641101199E-2</v>
      </c>
      <c r="P9" s="113">
        <v>3.0309734513274299E-2</v>
      </c>
      <c r="Q9" s="113">
        <v>3.5152409046214301E-3</v>
      </c>
      <c r="R9" s="113">
        <v>8.0875122910521093E-3</v>
      </c>
      <c r="S9" s="113">
        <v>2.9252704031465099E-3</v>
      </c>
      <c r="T9" s="113">
        <v>4.21091445427728E-2</v>
      </c>
      <c r="U9" s="113">
        <v>8.1858407079645999E-3</v>
      </c>
      <c r="V9" s="113">
        <v>4.2527040314650896E-3</v>
      </c>
      <c r="W9" s="114">
        <v>0.51870698131759996</v>
      </c>
      <c r="X9" s="26">
        <f t="shared" si="1"/>
        <v>0.99999999999999778</v>
      </c>
      <c r="Y9" s="61">
        <f t="shared" si="2"/>
        <v>0.51870698131759996</v>
      </c>
      <c r="Z9" s="61">
        <f t="shared" si="2"/>
        <v>0.10744837758112</v>
      </c>
      <c r="AA9" s="61">
        <f t="shared" si="2"/>
        <v>8.3013765978367696E-2</v>
      </c>
      <c r="AB9" s="61">
        <f t="shared" si="2"/>
        <v>7.9031465093411996E-2</v>
      </c>
      <c r="AC9" s="61">
        <f t="shared" si="2"/>
        <v>4.21091445427728E-2</v>
      </c>
      <c r="AD9" s="61">
        <f t="shared" si="0"/>
        <v>3.1981317600786603E-2</v>
      </c>
      <c r="AE9" s="61">
        <f t="shared" si="0"/>
        <v>3.0309734513274299E-2</v>
      </c>
      <c r="AF9" s="61">
        <f t="shared" si="0"/>
        <v>1.4773844641101199E-2</v>
      </c>
      <c r="AG9" s="61">
        <f t="shared" si="0"/>
        <v>1.4773844641101199E-2</v>
      </c>
      <c r="AH9" s="61">
        <f t="shared" si="0"/>
        <v>1.30039331366765E-2</v>
      </c>
    </row>
    <row r="10" spans="1:34" ht="18.5" x14ac:dyDescent="0.45">
      <c r="B10" s="33">
        <v>5</v>
      </c>
      <c r="C10" s="34" t="s">
        <v>263</v>
      </c>
      <c r="D10" s="113">
        <v>1.73979712196272E-3</v>
      </c>
      <c r="E10" s="113">
        <v>6.9267515923566794E-2</v>
      </c>
      <c r="F10" s="113">
        <v>0.126061571125265</v>
      </c>
      <c r="G10" s="113">
        <v>8.8169379570653406E-3</v>
      </c>
      <c r="H10" s="113">
        <v>4.9038688369898498E-2</v>
      </c>
      <c r="I10" s="113">
        <v>4.0988440669969296E-3</v>
      </c>
      <c r="J10" s="113">
        <v>4.4527011087520602E-3</v>
      </c>
      <c r="K10" s="113">
        <v>3.1552252889832499E-3</v>
      </c>
      <c r="L10" s="113">
        <v>3.9808917197452203E-3</v>
      </c>
      <c r="M10" s="113">
        <v>1.9609577730596801E-2</v>
      </c>
      <c r="N10" s="113">
        <v>0.47638004246284499</v>
      </c>
      <c r="O10" s="113">
        <v>3.2142014626091002E-3</v>
      </c>
      <c r="P10" s="113">
        <v>7.2835574427931099E-3</v>
      </c>
      <c r="Q10" s="113">
        <v>2.7423920736022599E-3</v>
      </c>
      <c r="R10" s="113">
        <v>1.0586223165840999E-2</v>
      </c>
      <c r="S10" s="113">
        <v>2.7423920736022599E-3</v>
      </c>
      <c r="T10" s="113">
        <v>0.186158292050011</v>
      </c>
      <c r="U10" s="113">
        <v>4.74758197688133E-3</v>
      </c>
      <c r="V10" s="113">
        <v>1.07631516867185E-2</v>
      </c>
      <c r="W10" s="114">
        <v>5.1604151922623196E-3</v>
      </c>
      <c r="X10" s="26">
        <f t="shared" si="1"/>
        <v>0.99999999999999845</v>
      </c>
      <c r="Y10" s="61">
        <f t="shared" si="2"/>
        <v>0.47638004246284499</v>
      </c>
      <c r="Z10" s="61">
        <f t="shared" si="2"/>
        <v>0.186158292050011</v>
      </c>
      <c r="AA10" s="61">
        <f t="shared" si="2"/>
        <v>0.126061571125265</v>
      </c>
      <c r="AB10" s="61">
        <f t="shared" si="2"/>
        <v>6.9267515923566794E-2</v>
      </c>
      <c r="AC10" s="61">
        <f t="shared" si="2"/>
        <v>4.9038688369898498E-2</v>
      </c>
      <c r="AD10" s="61">
        <f t="shared" si="0"/>
        <v>1.9609577730596801E-2</v>
      </c>
      <c r="AE10" s="61">
        <f t="shared" si="0"/>
        <v>1.07631516867185E-2</v>
      </c>
      <c r="AF10" s="61">
        <f t="shared" si="0"/>
        <v>1.0586223165840999E-2</v>
      </c>
      <c r="AG10" s="61">
        <f t="shared" si="0"/>
        <v>8.8169379570653406E-3</v>
      </c>
      <c r="AH10" s="61">
        <f t="shared" si="0"/>
        <v>7.2835574427931099E-3</v>
      </c>
    </row>
    <row r="11" spans="1:34" ht="18.5" x14ac:dyDescent="0.45">
      <c r="B11" s="33">
        <v>6</v>
      </c>
      <c r="C11" s="34" t="s">
        <v>264</v>
      </c>
      <c r="D11" s="113">
        <v>3.7870891529428099E-3</v>
      </c>
      <c r="E11" s="113">
        <v>8.4254047668681803E-2</v>
      </c>
      <c r="F11" s="113">
        <v>1.19171704537558E-2</v>
      </c>
      <c r="G11" s="113">
        <v>1.21951219512195E-2</v>
      </c>
      <c r="H11" s="113">
        <v>1.4488221805294899E-2</v>
      </c>
      <c r="I11" s="113">
        <v>1.03884372177055E-2</v>
      </c>
      <c r="J11" s="113">
        <v>2.0394691126398402E-2</v>
      </c>
      <c r="K11" s="113">
        <v>4.9683830171634996E-3</v>
      </c>
      <c r="L11" s="113">
        <v>1.9804044194288001E-3</v>
      </c>
      <c r="M11" s="113">
        <v>2.1437009241887201E-2</v>
      </c>
      <c r="N11" s="113">
        <v>0.72632200680981096</v>
      </c>
      <c r="O11" s="113">
        <v>4.9683830171634996E-3</v>
      </c>
      <c r="P11" s="113">
        <v>3.0227225349176499E-3</v>
      </c>
      <c r="Q11" s="113">
        <v>2.7447710374539601E-3</v>
      </c>
      <c r="R11" s="113">
        <v>1.08748523382669E-2</v>
      </c>
      <c r="S11" s="113">
        <v>3.2311861580154198E-3</v>
      </c>
      <c r="T11" s="113">
        <v>4.4368007782641897E-2</v>
      </c>
      <c r="U11" s="113">
        <v>8.8597039816551999E-3</v>
      </c>
      <c r="V11" s="113">
        <v>4.5514557709679599E-3</v>
      </c>
      <c r="W11" s="114">
        <v>5.2463345146271899E-3</v>
      </c>
      <c r="X11" s="26">
        <f t="shared" si="1"/>
        <v>0.999999999999999</v>
      </c>
      <c r="Y11" s="61">
        <f t="shared" si="2"/>
        <v>0.72632200680981096</v>
      </c>
      <c r="Z11" s="61">
        <f t="shared" si="2"/>
        <v>8.4254047668681803E-2</v>
      </c>
      <c r="AA11" s="61">
        <f t="shared" si="2"/>
        <v>4.4368007782641897E-2</v>
      </c>
      <c r="AB11" s="61">
        <f t="shared" si="2"/>
        <v>2.1437009241887201E-2</v>
      </c>
      <c r="AC11" s="61">
        <f t="shared" si="2"/>
        <v>2.0394691126398402E-2</v>
      </c>
      <c r="AD11" s="61">
        <f t="shared" si="0"/>
        <v>1.4488221805294899E-2</v>
      </c>
      <c r="AE11" s="61">
        <f t="shared" si="0"/>
        <v>1.21951219512195E-2</v>
      </c>
      <c r="AF11" s="61">
        <f t="shared" si="0"/>
        <v>1.19171704537558E-2</v>
      </c>
      <c r="AG11" s="61">
        <f t="shared" si="0"/>
        <v>1.08748523382669E-2</v>
      </c>
      <c r="AH11" s="61">
        <f t="shared" si="0"/>
        <v>1.03884372177055E-2</v>
      </c>
    </row>
    <row r="12" spans="1:34" ht="18.5" x14ac:dyDescent="0.45">
      <c r="B12" s="33">
        <v>7</v>
      </c>
      <c r="C12" s="34" t="s">
        <v>47</v>
      </c>
      <c r="D12" s="113">
        <v>3.3471837488457902E-3</v>
      </c>
      <c r="E12" s="113">
        <v>5.7517697753154802E-2</v>
      </c>
      <c r="F12" s="113">
        <v>0.44909972299168899</v>
      </c>
      <c r="G12" s="113">
        <v>6.1172668513388697E-3</v>
      </c>
      <c r="H12" s="113">
        <v>1.4119729147429899E-2</v>
      </c>
      <c r="I12" s="113">
        <v>4.0397045244690601E-3</v>
      </c>
      <c r="J12" s="113">
        <v>5.0400123114804499E-3</v>
      </c>
      <c r="K12" s="113">
        <v>6.3481071098799597E-3</v>
      </c>
      <c r="L12" s="113">
        <v>6.8097876269621396E-3</v>
      </c>
      <c r="M12" s="113">
        <v>1.31194213604185E-2</v>
      </c>
      <c r="N12" s="113">
        <v>2.03524161280393E-2</v>
      </c>
      <c r="O12" s="113">
        <v>1.3581101877500701E-2</v>
      </c>
      <c r="P12" s="113">
        <v>3.9896891351184897E-2</v>
      </c>
      <c r="Q12" s="113">
        <v>3.7319175130809401E-3</v>
      </c>
      <c r="R12" s="113">
        <v>1.3581101877500701E-2</v>
      </c>
      <c r="S12" s="113">
        <v>5.3477993228685699E-3</v>
      </c>
      <c r="T12" s="113">
        <v>0.28320252385349298</v>
      </c>
      <c r="U12" s="113">
        <v>1.23499538319482E-2</v>
      </c>
      <c r="V12" s="113">
        <v>3.2702369959987602E-3</v>
      </c>
      <c r="W12" s="114">
        <v>3.9127423822714599E-2</v>
      </c>
      <c r="X12" s="26">
        <f t="shared" si="1"/>
        <v>0.99999999999999811</v>
      </c>
      <c r="Y12" s="61">
        <f t="shared" si="2"/>
        <v>0.44909972299168899</v>
      </c>
      <c r="Z12" s="61">
        <f t="shared" si="2"/>
        <v>0.28320252385349298</v>
      </c>
      <c r="AA12" s="61">
        <f t="shared" si="2"/>
        <v>5.7517697753154802E-2</v>
      </c>
      <c r="AB12" s="61">
        <f t="shared" si="2"/>
        <v>3.9896891351184897E-2</v>
      </c>
      <c r="AC12" s="61">
        <f t="shared" si="2"/>
        <v>3.9127423822714599E-2</v>
      </c>
      <c r="AD12" s="61">
        <f t="shared" si="0"/>
        <v>2.03524161280393E-2</v>
      </c>
      <c r="AE12" s="61">
        <f t="shared" si="0"/>
        <v>1.4119729147429899E-2</v>
      </c>
      <c r="AF12" s="61">
        <f t="shared" si="0"/>
        <v>1.3581101877500701E-2</v>
      </c>
      <c r="AG12" s="61">
        <f t="shared" si="0"/>
        <v>1.3581101877500701E-2</v>
      </c>
      <c r="AH12" s="61">
        <f t="shared" si="0"/>
        <v>1.31194213604185E-2</v>
      </c>
    </row>
    <row r="13" spans="1:34" ht="18.5" x14ac:dyDescent="0.45">
      <c r="B13" s="33">
        <v>8</v>
      </c>
      <c r="C13" s="34" t="s">
        <v>97</v>
      </c>
      <c r="D13" s="113">
        <v>5.0457761131918397E-3</v>
      </c>
      <c r="E13" s="113">
        <v>8.7858926342072402E-2</v>
      </c>
      <c r="F13" s="113">
        <v>0.27991052850603398</v>
      </c>
      <c r="G13" s="113">
        <v>3.5320432792342898E-2</v>
      </c>
      <c r="H13" s="113">
        <v>9.2956720765709502E-2</v>
      </c>
      <c r="I13" s="113">
        <v>9.4829379941739497E-2</v>
      </c>
      <c r="J13" s="113">
        <v>2.0651269246774798E-2</v>
      </c>
      <c r="K13" s="113">
        <v>4.4215563878485199E-3</v>
      </c>
      <c r="L13" s="113">
        <v>4.9417394923012897E-3</v>
      </c>
      <c r="M13" s="113">
        <v>1.7009987515605399E-2</v>
      </c>
      <c r="N13" s="113">
        <v>0.14684769038701601</v>
      </c>
      <c r="O13" s="113">
        <v>2.12754889721181E-2</v>
      </c>
      <c r="P13" s="113">
        <v>4.7336662505201802E-3</v>
      </c>
      <c r="Q13" s="113">
        <v>5.8780690803162698E-3</v>
      </c>
      <c r="R13" s="113">
        <v>8.4789846025801006E-3</v>
      </c>
      <c r="S13" s="113">
        <v>4.3175197669579604E-3</v>
      </c>
      <c r="T13" s="113">
        <v>5.5815647107781897E-2</v>
      </c>
      <c r="U13" s="113">
        <v>8.4789846025801006E-3</v>
      </c>
      <c r="V13" s="113">
        <v>1.6177694548481E-2</v>
      </c>
      <c r="W13" s="114">
        <v>8.5049937578027396E-2</v>
      </c>
      <c r="X13" s="26">
        <f t="shared" si="1"/>
        <v>0.99999999999999889</v>
      </c>
      <c r="Y13" s="61">
        <f t="shared" si="2"/>
        <v>0.27991052850603398</v>
      </c>
      <c r="Z13" s="61">
        <f t="shared" si="2"/>
        <v>0.14684769038701601</v>
      </c>
      <c r="AA13" s="61">
        <f t="shared" si="2"/>
        <v>9.4829379941739497E-2</v>
      </c>
      <c r="AB13" s="61">
        <f t="shared" si="2"/>
        <v>9.2956720765709502E-2</v>
      </c>
      <c r="AC13" s="61">
        <f t="shared" si="2"/>
        <v>8.7858926342072402E-2</v>
      </c>
      <c r="AD13" s="61">
        <f t="shared" si="0"/>
        <v>8.5049937578027396E-2</v>
      </c>
      <c r="AE13" s="61">
        <f t="shared" si="0"/>
        <v>5.5815647107781897E-2</v>
      </c>
      <c r="AF13" s="61">
        <f t="shared" si="0"/>
        <v>3.5320432792342898E-2</v>
      </c>
      <c r="AG13" s="61">
        <f t="shared" si="0"/>
        <v>2.12754889721181E-2</v>
      </c>
      <c r="AH13" s="61">
        <f t="shared" si="0"/>
        <v>2.0651269246774798E-2</v>
      </c>
    </row>
    <row r="14" spans="1:34" ht="18.5" x14ac:dyDescent="0.45">
      <c r="B14" s="33">
        <v>9</v>
      </c>
      <c r="C14" s="34" t="s">
        <v>265</v>
      </c>
      <c r="D14" s="113">
        <v>5.7128663686040696E-3</v>
      </c>
      <c r="E14" s="113">
        <v>0.10390793177678399</v>
      </c>
      <c r="F14" s="113">
        <v>3.8830932273555198E-2</v>
      </c>
      <c r="G14" s="113">
        <v>7.3687696638516298E-3</v>
      </c>
      <c r="H14" s="113">
        <v>4.9759894022189097E-2</v>
      </c>
      <c r="I14" s="113">
        <v>6.5408180162278501E-3</v>
      </c>
      <c r="J14" s="113">
        <v>5.8784566981288297E-3</v>
      </c>
      <c r="K14" s="113">
        <v>5.0505050505050501E-3</v>
      </c>
      <c r="L14" s="113">
        <v>5.3816857095545598E-3</v>
      </c>
      <c r="M14" s="113">
        <v>0.55298890544792101</v>
      </c>
      <c r="N14" s="113">
        <v>4.3633051829773097E-2</v>
      </c>
      <c r="O14" s="113">
        <v>2.5749296241099499E-2</v>
      </c>
      <c r="P14" s="113">
        <v>3.5353535353535297E-2</v>
      </c>
      <c r="Q14" s="113">
        <v>9.5214439476734494E-3</v>
      </c>
      <c r="R14" s="113">
        <v>1.41579731743666E-2</v>
      </c>
      <c r="S14" s="113">
        <v>1.1508527901970499E-2</v>
      </c>
      <c r="T14" s="113">
        <v>5.15813876469614E-2</v>
      </c>
      <c r="U14" s="113">
        <v>7.3687696638516298E-3</v>
      </c>
      <c r="V14" s="113">
        <v>7.03758900480212E-3</v>
      </c>
      <c r="W14" s="114">
        <v>1.2667660208643799E-2</v>
      </c>
      <c r="X14" s="26">
        <f t="shared" si="1"/>
        <v>0.99999999999999856</v>
      </c>
      <c r="Y14" s="61">
        <f t="shared" si="2"/>
        <v>0.55298890544792101</v>
      </c>
      <c r="Z14" s="61">
        <f t="shared" si="2"/>
        <v>0.10390793177678399</v>
      </c>
      <c r="AA14" s="61">
        <f t="shared" si="2"/>
        <v>5.15813876469614E-2</v>
      </c>
      <c r="AB14" s="61">
        <f t="shared" si="2"/>
        <v>4.9759894022189097E-2</v>
      </c>
      <c r="AC14" s="61">
        <f t="shared" si="2"/>
        <v>4.3633051829773097E-2</v>
      </c>
      <c r="AD14" s="61">
        <f t="shared" si="0"/>
        <v>3.8830932273555198E-2</v>
      </c>
      <c r="AE14" s="61">
        <f t="shared" si="0"/>
        <v>3.5353535353535297E-2</v>
      </c>
      <c r="AF14" s="61">
        <f t="shared" si="0"/>
        <v>2.5749296241099499E-2</v>
      </c>
      <c r="AG14" s="61">
        <f t="shared" si="0"/>
        <v>1.41579731743666E-2</v>
      </c>
      <c r="AH14" s="61">
        <f t="shared" si="0"/>
        <v>1.2667660208643799E-2</v>
      </c>
    </row>
    <row r="15" spans="1:34" ht="18.5" x14ac:dyDescent="0.45">
      <c r="B15" s="33">
        <v>10</v>
      </c>
      <c r="C15" s="34" t="s">
        <v>266</v>
      </c>
      <c r="D15" s="113">
        <v>3.0961560930015098E-3</v>
      </c>
      <c r="E15" s="113">
        <v>0.126475055497137</v>
      </c>
      <c r="F15" s="113">
        <v>2.2257273045916501E-2</v>
      </c>
      <c r="G15" s="113">
        <v>5.4328776726253001E-3</v>
      </c>
      <c r="H15" s="113">
        <v>4.3988783736417798E-2</v>
      </c>
      <c r="I15" s="113">
        <v>1.09241733847412E-2</v>
      </c>
      <c r="J15" s="113">
        <v>0.54451454609183303</v>
      </c>
      <c r="K15" s="113">
        <v>4.6150251197569804E-3</v>
      </c>
      <c r="L15" s="113">
        <v>6.7180745414183902E-3</v>
      </c>
      <c r="M15" s="113">
        <v>8.1025820773454799E-2</v>
      </c>
      <c r="N15" s="113">
        <v>4.6559177474003899E-2</v>
      </c>
      <c r="O15" s="113">
        <v>5.0823694356817396E-3</v>
      </c>
      <c r="P15" s="113">
        <v>5.9002219885500602E-3</v>
      </c>
      <c r="Q15" s="113">
        <v>5.6665498305876801E-3</v>
      </c>
      <c r="R15" s="113">
        <v>2.3191961677766E-2</v>
      </c>
      <c r="S15" s="113">
        <v>4.8486972777193604E-3</v>
      </c>
      <c r="T15" s="113">
        <v>4.1652062156793998E-2</v>
      </c>
      <c r="U15" s="113">
        <v>4.6150251197569804E-3</v>
      </c>
      <c r="V15" s="113">
        <v>7.1854188573431399E-3</v>
      </c>
      <c r="W15" s="114">
        <v>6.2507302254936302E-3</v>
      </c>
      <c r="X15" s="26">
        <f t="shared" si="1"/>
        <v>0.99999999999999889</v>
      </c>
      <c r="Y15" s="61">
        <f t="shared" si="2"/>
        <v>0.54451454609183303</v>
      </c>
      <c r="Z15" s="61">
        <f t="shared" si="2"/>
        <v>0.126475055497137</v>
      </c>
      <c r="AA15" s="61">
        <f t="shared" si="2"/>
        <v>8.1025820773454799E-2</v>
      </c>
      <c r="AB15" s="61">
        <f t="shared" si="2"/>
        <v>4.6559177474003899E-2</v>
      </c>
      <c r="AC15" s="61">
        <f t="shared" si="2"/>
        <v>4.3988783736417798E-2</v>
      </c>
      <c r="AD15" s="61">
        <f t="shared" si="0"/>
        <v>4.1652062156793998E-2</v>
      </c>
      <c r="AE15" s="61">
        <f t="shared" si="0"/>
        <v>2.3191961677766E-2</v>
      </c>
      <c r="AF15" s="61">
        <f t="shared" si="0"/>
        <v>2.2257273045916501E-2</v>
      </c>
      <c r="AG15" s="61">
        <f t="shared" si="0"/>
        <v>1.09241733847412E-2</v>
      </c>
      <c r="AH15" s="61">
        <f t="shared" si="0"/>
        <v>7.1854188573431399E-3</v>
      </c>
    </row>
    <row r="16" spans="1:34" ht="18.5" x14ac:dyDescent="0.45">
      <c r="B16" s="33">
        <v>11</v>
      </c>
      <c r="C16" s="34" t="s">
        <v>267</v>
      </c>
      <c r="D16" s="113">
        <v>2.94451539662267E-3</v>
      </c>
      <c r="E16" s="113">
        <v>6.0557684120902497E-2</v>
      </c>
      <c r="F16" s="113">
        <v>5.5236270753512097E-2</v>
      </c>
      <c r="G16" s="113">
        <v>7.4854548034624597E-3</v>
      </c>
      <c r="H16" s="113">
        <v>1.8341138072938801E-2</v>
      </c>
      <c r="I16" s="113">
        <v>6.7049808429118698E-3</v>
      </c>
      <c r="J16" s="113">
        <v>0.335568326947637</v>
      </c>
      <c r="K16" s="113">
        <v>4.5764154959557204E-3</v>
      </c>
      <c r="L16" s="113">
        <v>2.5897545054633102E-3</v>
      </c>
      <c r="M16" s="113">
        <v>1.81282815382432E-2</v>
      </c>
      <c r="N16" s="113">
        <v>3.9201078473109101E-2</v>
      </c>
      <c r="O16" s="113">
        <v>4.0087980701007499E-3</v>
      </c>
      <c r="P16" s="113">
        <v>8.2659287640130495E-3</v>
      </c>
      <c r="Q16" s="113">
        <v>1.69220945083014E-2</v>
      </c>
      <c r="R16" s="113">
        <v>1.49354335178089E-2</v>
      </c>
      <c r="S16" s="113">
        <v>3.0154675748545398E-3</v>
      </c>
      <c r="T16" s="113">
        <v>0.37551440329218</v>
      </c>
      <c r="U16" s="113">
        <v>5.0730807435788198E-3</v>
      </c>
      <c r="V16" s="113">
        <v>3.5830850007095199E-3</v>
      </c>
      <c r="W16" s="114">
        <v>1.7347807577692598E-2</v>
      </c>
      <c r="X16" s="26">
        <f t="shared" si="1"/>
        <v>0.99999999999999822</v>
      </c>
      <c r="Y16" s="61">
        <f t="shared" si="2"/>
        <v>0.37551440329218</v>
      </c>
      <c r="Z16" s="61">
        <f t="shared" si="2"/>
        <v>0.335568326947637</v>
      </c>
      <c r="AA16" s="61">
        <f t="shared" si="2"/>
        <v>6.0557684120902497E-2</v>
      </c>
      <c r="AB16" s="61">
        <f t="shared" si="2"/>
        <v>5.5236270753512097E-2</v>
      </c>
      <c r="AC16" s="61">
        <f t="shared" si="2"/>
        <v>3.9201078473109101E-2</v>
      </c>
      <c r="AD16" s="61">
        <f t="shared" si="0"/>
        <v>1.8341138072938801E-2</v>
      </c>
      <c r="AE16" s="61">
        <f t="shared" si="0"/>
        <v>1.81282815382432E-2</v>
      </c>
      <c r="AF16" s="61">
        <f t="shared" si="0"/>
        <v>1.7347807577692598E-2</v>
      </c>
      <c r="AG16" s="61">
        <f t="shared" si="0"/>
        <v>1.69220945083014E-2</v>
      </c>
      <c r="AH16" s="61">
        <f t="shared" si="0"/>
        <v>1.49354335178089E-2</v>
      </c>
    </row>
    <row r="17" spans="2:34" ht="18.5" x14ac:dyDescent="0.45">
      <c r="B17" s="33">
        <v>12</v>
      </c>
      <c r="C17" s="34" t="s">
        <v>128</v>
      </c>
      <c r="D17" s="113">
        <v>2.82805429864253E-3</v>
      </c>
      <c r="E17" s="113">
        <v>3.07315233785822E-2</v>
      </c>
      <c r="F17" s="113">
        <v>0.13254147812971301</v>
      </c>
      <c r="G17" s="113">
        <v>8.6098541980894894E-3</v>
      </c>
      <c r="H17" s="113">
        <v>1.36375062845651E-2</v>
      </c>
      <c r="I17" s="113">
        <v>7.6043237807943698E-3</v>
      </c>
      <c r="J17" s="113">
        <v>4.2106586224233203E-3</v>
      </c>
      <c r="K17" s="113">
        <v>7.4786324786324798E-3</v>
      </c>
      <c r="L17" s="113">
        <v>6.7244846656611297E-3</v>
      </c>
      <c r="M17" s="113">
        <v>0.55059074912016104</v>
      </c>
      <c r="N17" s="113">
        <v>4.50603318250377E-2</v>
      </c>
      <c r="O17" s="113">
        <v>6.3474107591754599E-3</v>
      </c>
      <c r="P17" s="113">
        <v>4.0284062342885799E-2</v>
      </c>
      <c r="Q17" s="113">
        <v>3.9152840623428803E-2</v>
      </c>
      <c r="R17" s="113">
        <v>8.3584715937657095E-3</v>
      </c>
      <c r="S17" s="113">
        <v>3.70789341377576E-3</v>
      </c>
      <c r="T17" s="113">
        <v>5.52413273001508E-2</v>
      </c>
      <c r="U17" s="113">
        <v>5.3418803418803402E-3</v>
      </c>
      <c r="V17" s="113">
        <v>1.18778280542986E-2</v>
      </c>
      <c r="W17" s="114">
        <v>1.9670688788335802E-2</v>
      </c>
      <c r="X17" s="26">
        <f t="shared" si="1"/>
        <v>0.99999999999999933</v>
      </c>
      <c r="Y17" s="61">
        <f t="shared" si="2"/>
        <v>0.55059074912016104</v>
      </c>
      <c r="Z17" s="61">
        <f t="shared" si="2"/>
        <v>0.13254147812971301</v>
      </c>
      <c r="AA17" s="61">
        <f t="shared" si="2"/>
        <v>5.52413273001508E-2</v>
      </c>
      <c r="AB17" s="61">
        <f t="shared" si="2"/>
        <v>4.50603318250377E-2</v>
      </c>
      <c r="AC17" s="61">
        <f t="shared" si="2"/>
        <v>4.0284062342885799E-2</v>
      </c>
      <c r="AD17" s="61">
        <f t="shared" si="0"/>
        <v>3.9152840623428803E-2</v>
      </c>
      <c r="AE17" s="61">
        <f t="shared" si="0"/>
        <v>3.07315233785822E-2</v>
      </c>
      <c r="AF17" s="61">
        <f t="shared" si="0"/>
        <v>1.9670688788335802E-2</v>
      </c>
      <c r="AG17" s="61">
        <f t="shared" si="0"/>
        <v>1.36375062845651E-2</v>
      </c>
      <c r="AH17" s="61">
        <f t="shared" si="0"/>
        <v>1.18778280542986E-2</v>
      </c>
    </row>
    <row r="18" spans="2:34" ht="18.5" x14ac:dyDescent="0.45">
      <c r="B18" s="33">
        <v>13</v>
      </c>
      <c r="C18" s="35" t="s">
        <v>268</v>
      </c>
      <c r="D18" s="113">
        <v>4.5668975208270502E-3</v>
      </c>
      <c r="E18" s="113">
        <v>0.113068352905751</v>
      </c>
      <c r="F18" s="113">
        <v>6.3183779985947999E-2</v>
      </c>
      <c r="G18" s="113">
        <v>3.9496135702097701E-2</v>
      </c>
      <c r="H18" s="113">
        <v>4.0299106694770603E-2</v>
      </c>
      <c r="I18" s="113">
        <v>3.6635551540700499E-3</v>
      </c>
      <c r="J18" s="113">
        <v>6.4739536284251697E-3</v>
      </c>
      <c r="K18" s="113">
        <v>9.7862089732008405E-3</v>
      </c>
      <c r="L18" s="113">
        <v>4.5668975208270502E-3</v>
      </c>
      <c r="M18" s="113">
        <v>3.4979423868312702E-2</v>
      </c>
      <c r="N18" s="113">
        <v>2.1730402489210002E-2</v>
      </c>
      <c r="O18" s="113">
        <v>3.8642979022382798E-3</v>
      </c>
      <c r="P18" s="113">
        <v>1.39014353106493E-2</v>
      </c>
      <c r="Q18" s="113">
        <v>0.57698484392251304</v>
      </c>
      <c r="R18" s="113">
        <v>1.44032921810699E-2</v>
      </c>
      <c r="S18" s="113">
        <v>7.37729599518217E-3</v>
      </c>
      <c r="T18" s="113">
        <v>1.7012947907256801E-2</v>
      </c>
      <c r="U18" s="113">
        <v>8.3810097360232805E-3</v>
      </c>
      <c r="V18" s="113">
        <v>8.78249523235973E-3</v>
      </c>
      <c r="W18" s="114">
        <v>7.4776673692662802E-3</v>
      </c>
      <c r="X18" s="26">
        <f t="shared" si="1"/>
        <v>0.99999999999999911</v>
      </c>
      <c r="Y18" s="61">
        <f t="shared" si="2"/>
        <v>0.57698484392251304</v>
      </c>
      <c r="Z18" s="61">
        <f t="shared" si="2"/>
        <v>0.113068352905751</v>
      </c>
      <c r="AA18" s="61">
        <f t="shared" si="2"/>
        <v>6.3183779985947999E-2</v>
      </c>
      <c r="AB18" s="61">
        <f t="shared" si="2"/>
        <v>4.0299106694770603E-2</v>
      </c>
      <c r="AC18" s="61">
        <f t="shared" si="2"/>
        <v>3.9496135702097701E-2</v>
      </c>
      <c r="AD18" s="61">
        <f t="shared" si="0"/>
        <v>3.4979423868312702E-2</v>
      </c>
      <c r="AE18" s="61">
        <f t="shared" si="0"/>
        <v>2.1730402489210002E-2</v>
      </c>
      <c r="AF18" s="61">
        <f t="shared" si="0"/>
        <v>1.7012947907256801E-2</v>
      </c>
      <c r="AG18" s="61">
        <f t="shared" si="0"/>
        <v>1.44032921810699E-2</v>
      </c>
      <c r="AH18" s="61">
        <f t="shared" si="0"/>
        <v>1.39014353106493E-2</v>
      </c>
    </row>
    <row r="19" spans="2:34" ht="18.5" x14ac:dyDescent="0.45">
      <c r="B19" s="33">
        <v>14</v>
      </c>
      <c r="C19" s="34" t="s">
        <v>269</v>
      </c>
      <c r="D19" s="113">
        <v>7.1723802577194204E-3</v>
      </c>
      <c r="E19" s="113">
        <v>0.125658481238349</v>
      </c>
      <c r="F19" s="113">
        <v>1.29264932328389E-2</v>
      </c>
      <c r="G19" s="113">
        <v>6.1188102763595096E-3</v>
      </c>
      <c r="H19" s="113">
        <v>3.12424021395575E-2</v>
      </c>
      <c r="I19" s="113">
        <v>3.3633195558797299E-3</v>
      </c>
      <c r="J19" s="113">
        <v>9.6847394440392198E-3</v>
      </c>
      <c r="K19" s="113">
        <v>6.9292487235594396E-3</v>
      </c>
      <c r="L19" s="113">
        <v>5.3894156738795596E-3</v>
      </c>
      <c r="M19" s="113">
        <v>3.7563822027716902E-2</v>
      </c>
      <c r="N19" s="113">
        <v>8.0638625496393494E-3</v>
      </c>
      <c r="O19" s="113">
        <v>6.8482048788394501E-3</v>
      </c>
      <c r="P19" s="113">
        <v>3.5699813599157103E-2</v>
      </c>
      <c r="Q19" s="113">
        <v>0.37446308452873001</v>
      </c>
      <c r="R19" s="113">
        <v>3.5699813599157103E-2</v>
      </c>
      <c r="S19" s="113">
        <v>5.1462841397195798E-3</v>
      </c>
      <c r="T19" s="113">
        <v>0.25978604424993901</v>
      </c>
      <c r="U19" s="113">
        <v>1.28454493881189E-2</v>
      </c>
      <c r="V19" s="113">
        <v>7.1723802577194204E-3</v>
      </c>
      <c r="W19" s="114">
        <v>8.2259502390793406E-3</v>
      </c>
      <c r="X19" s="26">
        <f t="shared" si="1"/>
        <v>0.99999999999999845</v>
      </c>
      <c r="Y19" s="61">
        <f t="shared" si="2"/>
        <v>0.37446308452873001</v>
      </c>
      <c r="Z19" s="61">
        <f t="shared" si="2"/>
        <v>0.25978604424993901</v>
      </c>
      <c r="AA19" s="61">
        <f t="shared" si="2"/>
        <v>0.125658481238349</v>
      </c>
      <c r="AB19" s="61">
        <f t="shared" si="2"/>
        <v>3.7563822027716902E-2</v>
      </c>
      <c r="AC19" s="61">
        <f t="shared" si="2"/>
        <v>3.5699813599157103E-2</v>
      </c>
      <c r="AD19" s="61">
        <f t="shared" si="0"/>
        <v>3.5699813599157103E-2</v>
      </c>
      <c r="AE19" s="61">
        <f t="shared" si="0"/>
        <v>3.12424021395575E-2</v>
      </c>
      <c r="AF19" s="61">
        <f t="shared" si="0"/>
        <v>1.29264932328389E-2</v>
      </c>
      <c r="AG19" s="61">
        <f t="shared" si="0"/>
        <v>1.28454493881189E-2</v>
      </c>
      <c r="AH19" s="61">
        <f t="shared" si="0"/>
        <v>9.6847394440392198E-3</v>
      </c>
    </row>
    <row r="20" spans="2:34" ht="18.5" x14ac:dyDescent="0.45">
      <c r="B20" s="33">
        <v>15</v>
      </c>
      <c r="C20" s="34" t="s">
        <v>141</v>
      </c>
      <c r="D20" s="113">
        <v>4.95351318396585E-3</v>
      </c>
      <c r="E20" s="113">
        <v>5.6012802926383103E-2</v>
      </c>
      <c r="F20" s="113">
        <v>5.4945892394452002E-2</v>
      </c>
      <c r="G20" s="113">
        <v>8.6114921505868001E-3</v>
      </c>
      <c r="H20" s="113">
        <v>2.65965554031397E-2</v>
      </c>
      <c r="I20" s="113">
        <v>8.1466239902453899E-2</v>
      </c>
      <c r="J20" s="113">
        <v>8.4590763603109194E-3</v>
      </c>
      <c r="K20" s="113">
        <v>1.0288065843621399E-2</v>
      </c>
      <c r="L20" s="113">
        <v>8.6114921505868001E-3</v>
      </c>
      <c r="M20" s="113">
        <v>0.47652796829751498</v>
      </c>
      <c r="N20" s="113">
        <v>1.6841944825483901E-2</v>
      </c>
      <c r="O20" s="113">
        <v>1.0897729004724801E-2</v>
      </c>
      <c r="P20" s="113">
        <v>2.2024081694863501E-2</v>
      </c>
      <c r="Q20" s="113">
        <v>5.1059289742417299E-3</v>
      </c>
      <c r="R20" s="113">
        <v>1.0897729004724801E-2</v>
      </c>
      <c r="S20" s="113">
        <v>4.6486816034141103E-3</v>
      </c>
      <c r="T20" s="113">
        <v>1.8670934308794299E-2</v>
      </c>
      <c r="U20" s="113">
        <v>5.2583447645176001E-3</v>
      </c>
      <c r="V20" s="113">
        <v>7.6969974089315602E-3</v>
      </c>
      <c r="W20" s="114">
        <v>0.161484529797287</v>
      </c>
      <c r="X20" s="26">
        <f t="shared" si="1"/>
        <v>0.999999999999999</v>
      </c>
      <c r="Y20" s="61">
        <f t="shared" si="2"/>
        <v>0.47652796829751498</v>
      </c>
      <c r="Z20" s="61">
        <f t="shared" si="2"/>
        <v>0.161484529797287</v>
      </c>
      <c r="AA20" s="61">
        <f t="shared" si="2"/>
        <v>8.1466239902453899E-2</v>
      </c>
      <c r="AB20" s="61">
        <f t="shared" si="2"/>
        <v>5.6012802926383103E-2</v>
      </c>
      <c r="AC20" s="61">
        <f t="shared" si="2"/>
        <v>5.4945892394452002E-2</v>
      </c>
      <c r="AD20" s="61">
        <f t="shared" si="0"/>
        <v>2.65965554031397E-2</v>
      </c>
      <c r="AE20" s="61">
        <f t="shared" si="0"/>
        <v>2.2024081694863501E-2</v>
      </c>
      <c r="AF20" s="61">
        <f t="shared" si="0"/>
        <v>1.8670934308794299E-2</v>
      </c>
      <c r="AG20" s="61">
        <f t="shared" si="0"/>
        <v>1.6841944825483901E-2</v>
      </c>
      <c r="AH20" s="61">
        <f t="shared" si="0"/>
        <v>1.0897729004724801E-2</v>
      </c>
    </row>
    <row r="21" spans="2:34" ht="18.5" x14ac:dyDescent="0.45">
      <c r="B21" s="33">
        <v>16</v>
      </c>
      <c r="C21" s="34" t="s">
        <v>270</v>
      </c>
      <c r="D21" s="113">
        <v>2.2802653399668299E-3</v>
      </c>
      <c r="E21" s="113">
        <v>0.14788557213930301</v>
      </c>
      <c r="F21" s="113">
        <v>1.44693200663349E-2</v>
      </c>
      <c r="G21" s="113">
        <v>9.3283582089552196E-3</v>
      </c>
      <c r="H21" s="113">
        <v>5.5514096185737903E-2</v>
      </c>
      <c r="I21" s="113">
        <v>2.31757877280265E-2</v>
      </c>
      <c r="J21" s="113">
        <v>3.7728026533996599E-3</v>
      </c>
      <c r="K21" s="113">
        <v>1.1318407960198999E-2</v>
      </c>
      <c r="L21" s="113">
        <v>1.5547263681592E-2</v>
      </c>
      <c r="M21" s="113">
        <v>7.3383084577114399E-3</v>
      </c>
      <c r="N21" s="113">
        <v>6.5920398009950204E-3</v>
      </c>
      <c r="O21" s="113">
        <v>1.14013266998341E-2</v>
      </c>
      <c r="P21" s="113">
        <v>8.6650082918739608E-3</v>
      </c>
      <c r="Q21" s="113">
        <v>9.3283582089552196E-3</v>
      </c>
      <c r="R21" s="113">
        <v>1.32255389718076E-2</v>
      </c>
      <c r="S21" s="113">
        <v>4.5190713101160799E-3</v>
      </c>
      <c r="T21" s="113">
        <v>1.6708126036484201E-2</v>
      </c>
      <c r="U21" s="113">
        <v>6.5091210613598604E-3</v>
      </c>
      <c r="V21" s="113">
        <v>0.61380597014925298</v>
      </c>
      <c r="W21" s="114">
        <v>1.86152570480928E-2</v>
      </c>
      <c r="X21" s="26">
        <f t="shared" si="1"/>
        <v>0.99999999999999833</v>
      </c>
      <c r="Y21" s="61">
        <f t="shared" si="2"/>
        <v>0.61380597014925298</v>
      </c>
      <c r="Z21" s="61">
        <f t="shared" si="2"/>
        <v>0.14788557213930301</v>
      </c>
      <c r="AA21" s="61">
        <f t="shared" si="2"/>
        <v>5.5514096185737903E-2</v>
      </c>
      <c r="AB21" s="61">
        <f t="shared" si="2"/>
        <v>2.31757877280265E-2</v>
      </c>
      <c r="AC21" s="61">
        <f t="shared" si="2"/>
        <v>1.86152570480928E-2</v>
      </c>
      <c r="AD21" s="61">
        <f t="shared" si="0"/>
        <v>1.6708126036484201E-2</v>
      </c>
      <c r="AE21" s="61">
        <f t="shared" si="0"/>
        <v>1.5547263681592E-2</v>
      </c>
      <c r="AF21" s="61">
        <f t="shared" si="0"/>
        <v>1.44693200663349E-2</v>
      </c>
      <c r="AG21" s="61">
        <f t="shared" si="0"/>
        <v>1.32255389718076E-2</v>
      </c>
      <c r="AH21" s="61">
        <f t="shared" si="0"/>
        <v>1.14013266998341E-2</v>
      </c>
    </row>
    <row r="22" spans="2:34" ht="18.5" x14ac:dyDescent="0.45">
      <c r="B22" s="33">
        <v>17</v>
      </c>
      <c r="C22" s="34" t="s">
        <v>151</v>
      </c>
      <c r="D22" s="113">
        <v>2.7080256031511499E-3</v>
      </c>
      <c r="E22" s="113">
        <v>0.124213578423327</v>
      </c>
      <c r="F22" s="113">
        <v>1.6275507412878101E-2</v>
      </c>
      <c r="G22" s="113">
        <v>2.8530007111986399E-2</v>
      </c>
      <c r="H22" s="113">
        <v>1.3704250779583101E-2</v>
      </c>
      <c r="I22" s="113">
        <v>0.63146233382570105</v>
      </c>
      <c r="J22" s="113">
        <v>1.3430712839870801E-2</v>
      </c>
      <c r="K22" s="113">
        <v>1.88741178401444E-3</v>
      </c>
      <c r="L22" s="113">
        <v>5.9357732917555599E-3</v>
      </c>
      <c r="M22" s="113">
        <v>6.2093112314678001E-3</v>
      </c>
      <c r="N22" s="113">
        <v>5.3886974123310899E-3</v>
      </c>
      <c r="O22" s="113">
        <v>7.6317085179714401E-3</v>
      </c>
      <c r="P22" s="113">
        <v>8.2334919853383603E-3</v>
      </c>
      <c r="Q22" s="113">
        <v>3.63805459817276E-3</v>
      </c>
      <c r="R22" s="113">
        <v>5.2765468570490699E-2</v>
      </c>
      <c r="S22" s="113">
        <v>3.1456863066907301E-3</v>
      </c>
      <c r="T22" s="113">
        <v>2.4645768368072599E-2</v>
      </c>
      <c r="U22" s="113">
        <v>4.4586684173094802E-3</v>
      </c>
      <c r="V22" s="113">
        <v>1.02029651512664E-2</v>
      </c>
      <c r="W22" s="114">
        <v>3.5532578368619699E-2</v>
      </c>
      <c r="X22" s="26">
        <f t="shared" si="1"/>
        <v>0.99999999999999878</v>
      </c>
      <c r="Y22" s="61">
        <f t="shared" si="2"/>
        <v>0.63146233382570105</v>
      </c>
      <c r="Z22" s="61">
        <f t="shared" si="2"/>
        <v>0.124213578423327</v>
      </c>
      <c r="AA22" s="61">
        <f t="shared" si="2"/>
        <v>5.2765468570490699E-2</v>
      </c>
      <c r="AB22" s="61">
        <f t="shared" si="2"/>
        <v>3.5532578368619699E-2</v>
      </c>
      <c r="AC22" s="61">
        <f t="shared" si="2"/>
        <v>2.8530007111986399E-2</v>
      </c>
      <c r="AD22" s="61">
        <f t="shared" si="2"/>
        <v>2.4645768368072599E-2</v>
      </c>
      <c r="AE22" s="61">
        <f t="shared" si="2"/>
        <v>1.6275507412878101E-2</v>
      </c>
      <c r="AF22" s="61">
        <f t="shared" si="2"/>
        <v>1.3704250779583101E-2</v>
      </c>
      <c r="AG22" s="61">
        <f t="shared" si="2"/>
        <v>1.3430712839870801E-2</v>
      </c>
      <c r="AH22" s="61">
        <f t="shared" si="2"/>
        <v>1.02029651512664E-2</v>
      </c>
    </row>
    <row r="23" spans="2:34" ht="18.5" x14ac:dyDescent="0.45">
      <c r="B23" s="33">
        <v>18</v>
      </c>
      <c r="C23" s="34" t="s">
        <v>284</v>
      </c>
      <c r="D23" s="113">
        <v>2.5398353117313602E-3</v>
      </c>
      <c r="E23" s="113">
        <v>0.122206181157095</v>
      </c>
      <c r="F23" s="113">
        <v>5.7614158913485099E-2</v>
      </c>
      <c r="G23" s="113">
        <v>1.8848251523901099E-2</v>
      </c>
      <c r="H23" s="113">
        <v>1.2164474387766E-2</v>
      </c>
      <c r="I23" s="113">
        <v>4.9459950807400196E-3</v>
      </c>
      <c r="J23" s="113">
        <v>1.7377820553951401E-3</v>
      </c>
      <c r="K23" s="113">
        <v>3.4488290022457401E-3</v>
      </c>
      <c r="L23" s="113">
        <v>1.41963426371511E-2</v>
      </c>
      <c r="M23" s="113">
        <v>9.7048444016682705E-3</v>
      </c>
      <c r="N23" s="113">
        <v>4.8390546465618602E-3</v>
      </c>
      <c r="O23" s="113">
        <v>3.60923965351299E-3</v>
      </c>
      <c r="P23" s="113">
        <v>3.0237407763875498E-2</v>
      </c>
      <c r="Q23" s="113">
        <v>1.79125227248422E-3</v>
      </c>
      <c r="R23" s="113">
        <v>3.4301144262645702E-2</v>
      </c>
      <c r="S23" s="113">
        <v>5.5876376858090002E-3</v>
      </c>
      <c r="T23" s="113">
        <v>5.23740776387552E-2</v>
      </c>
      <c r="U23" s="113">
        <v>0.61087049513420999</v>
      </c>
      <c r="V23" s="113">
        <v>1.63084162121698E-3</v>
      </c>
      <c r="W23" s="114">
        <v>7.3521548497486903E-3</v>
      </c>
      <c r="X23" s="26">
        <f t="shared" si="1"/>
        <v>0.999999999999999</v>
      </c>
      <c r="Y23" s="61">
        <f t="shared" si="2"/>
        <v>0.61087049513420999</v>
      </c>
      <c r="Z23" s="61">
        <f t="shared" si="2"/>
        <v>0.122206181157095</v>
      </c>
      <c r="AA23" s="61">
        <f t="shared" si="2"/>
        <v>5.7614158913485099E-2</v>
      </c>
      <c r="AB23" s="61">
        <f t="shared" si="2"/>
        <v>5.23740776387552E-2</v>
      </c>
      <c r="AC23" s="61">
        <f t="shared" si="2"/>
        <v>3.4301144262645702E-2</v>
      </c>
      <c r="AD23" s="61">
        <f t="shared" si="2"/>
        <v>3.0237407763875498E-2</v>
      </c>
      <c r="AE23" s="61">
        <f t="shared" si="2"/>
        <v>1.8848251523901099E-2</v>
      </c>
      <c r="AF23" s="61">
        <f t="shared" si="2"/>
        <v>1.41963426371511E-2</v>
      </c>
      <c r="AG23" s="61">
        <f t="shared" si="2"/>
        <v>1.2164474387766E-2</v>
      </c>
      <c r="AH23" s="61">
        <f t="shared" si="2"/>
        <v>9.7048444016682705E-3</v>
      </c>
    </row>
    <row r="24" spans="2:34" ht="18.5" x14ac:dyDescent="0.45">
      <c r="B24" s="33">
        <v>19</v>
      </c>
      <c r="C24" s="34" t="s">
        <v>287</v>
      </c>
      <c r="D24" s="113">
        <v>4.5061728395061696E-3</v>
      </c>
      <c r="E24" s="113">
        <v>7.6975308641975299E-2</v>
      </c>
      <c r="F24" s="113">
        <v>6.23456790123456E-3</v>
      </c>
      <c r="G24" s="113">
        <v>3.64197530864197E-3</v>
      </c>
      <c r="H24" s="113">
        <v>1.10493827160493E-2</v>
      </c>
      <c r="I24" s="113">
        <v>2.3024691358024599E-2</v>
      </c>
      <c r="J24" s="113">
        <v>8.2098765432098708E-3</v>
      </c>
      <c r="K24" s="113">
        <v>6.6049382716049298E-3</v>
      </c>
      <c r="L24" s="113">
        <v>0.730061728395061</v>
      </c>
      <c r="M24" s="113">
        <v>5.7407407407407398E-3</v>
      </c>
      <c r="N24" s="113">
        <v>2.9197530864197501E-2</v>
      </c>
      <c r="O24" s="113">
        <v>4.3827160493827098E-3</v>
      </c>
      <c r="P24" s="113">
        <v>1.4876543209876501E-2</v>
      </c>
      <c r="Q24" s="113">
        <v>1.75925925925925E-2</v>
      </c>
      <c r="R24" s="113">
        <v>1.61111111111111E-2</v>
      </c>
      <c r="S24" s="113">
        <v>7.4691358024691302E-3</v>
      </c>
      <c r="T24" s="113">
        <v>6.8518518518518503E-3</v>
      </c>
      <c r="U24" s="113">
        <v>1.38888888888888E-2</v>
      </c>
      <c r="V24" s="113">
        <v>5.37037037037037E-3</v>
      </c>
      <c r="W24" s="114">
        <v>8.2098765432098708E-3</v>
      </c>
      <c r="X24" s="26">
        <f t="shared" si="1"/>
        <v>0.99999999999999867</v>
      </c>
      <c r="Y24" s="61">
        <f t="shared" si="2"/>
        <v>0.730061728395061</v>
      </c>
      <c r="Z24" s="61">
        <f t="shared" si="2"/>
        <v>7.6975308641975299E-2</v>
      </c>
      <c r="AA24" s="61">
        <f t="shared" si="2"/>
        <v>2.9197530864197501E-2</v>
      </c>
      <c r="AB24" s="61">
        <f t="shared" si="2"/>
        <v>2.3024691358024599E-2</v>
      </c>
      <c r="AC24" s="61">
        <f t="shared" si="2"/>
        <v>1.75925925925925E-2</v>
      </c>
      <c r="AD24" s="61">
        <f t="shared" si="2"/>
        <v>1.61111111111111E-2</v>
      </c>
      <c r="AE24" s="61">
        <f t="shared" si="2"/>
        <v>1.4876543209876501E-2</v>
      </c>
      <c r="AF24" s="61">
        <f t="shared" si="2"/>
        <v>1.38888888888888E-2</v>
      </c>
      <c r="AG24" s="61">
        <f t="shared" si="2"/>
        <v>1.10493827160493E-2</v>
      </c>
      <c r="AH24" s="61">
        <f t="shared" si="2"/>
        <v>8.2098765432098708E-3</v>
      </c>
    </row>
    <row r="25" spans="2:34" ht="18.5" x14ac:dyDescent="0.45">
      <c r="B25" s="33">
        <v>20</v>
      </c>
      <c r="C25" s="34" t="s">
        <v>288</v>
      </c>
      <c r="D25" s="113">
        <v>7.4786324786324798E-3</v>
      </c>
      <c r="E25" s="113">
        <v>0.14599044746103501</v>
      </c>
      <c r="F25" s="113">
        <v>6.8501759678230197E-3</v>
      </c>
      <c r="G25" s="113">
        <v>1.9544997486173901E-2</v>
      </c>
      <c r="H25" s="113">
        <v>5.97033685268979E-3</v>
      </c>
      <c r="I25" s="113">
        <v>5.8446455505279001E-3</v>
      </c>
      <c r="J25" s="113">
        <v>5.2161890397184503E-3</v>
      </c>
      <c r="K25" s="113">
        <v>6.2217194570135699E-3</v>
      </c>
      <c r="L25" s="113">
        <v>0.61481900452488703</v>
      </c>
      <c r="M25" s="113">
        <v>9.2383107088989409E-3</v>
      </c>
      <c r="N25" s="113">
        <v>4.8391151332327796E-3</v>
      </c>
      <c r="O25" s="113">
        <v>6.09602815485168E-3</v>
      </c>
      <c r="P25" s="113">
        <v>1.04952237305178E-2</v>
      </c>
      <c r="Q25" s="113">
        <v>4.9648064353946704E-3</v>
      </c>
      <c r="R25" s="113">
        <v>3.9027149321266899E-2</v>
      </c>
      <c r="S25" s="113">
        <v>3.4565108094519801E-3</v>
      </c>
      <c r="T25" s="113">
        <v>3.70789341377576E-3</v>
      </c>
      <c r="U25" s="113">
        <v>8.0002513826043203E-2</v>
      </c>
      <c r="V25" s="113">
        <v>5.5932629462041202E-3</v>
      </c>
      <c r="W25" s="114">
        <v>1.46430367018602E-2</v>
      </c>
      <c r="X25" s="26">
        <f t="shared" si="1"/>
        <v>0.99999999999999911</v>
      </c>
      <c r="Y25" s="61">
        <f t="shared" si="2"/>
        <v>0.61481900452488703</v>
      </c>
      <c r="Z25" s="61">
        <f t="shared" si="2"/>
        <v>0.14599044746103501</v>
      </c>
      <c r="AA25" s="61">
        <f t="shared" si="2"/>
        <v>8.0002513826043203E-2</v>
      </c>
      <c r="AB25" s="61">
        <f t="shared" si="2"/>
        <v>3.9027149321266899E-2</v>
      </c>
      <c r="AC25" s="61">
        <f t="shared" si="2"/>
        <v>1.9544997486173901E-2</v>
      </c>
      <c r="AD25" s="61">
        <f t="shared" si="2"/>
        <v>1.46430367018602E-2</v>
      </c>
      <c r="AE25" s="61">
        <f t="shared" si="2"/>
        <v>1.04952237305178E-2</v>
      </c>
      <c r="AF25" s="61">
        <f t="shared" si="2"/>
        <v>9.2383107088989409E-3</v>
      </c>
      <c r="AG25" s="61">
        <f t="shared" si="2"/>
        <v>7.4786324786324798E-3</v>
      </c>
      <c r="AH25" s="61">
        <f t="shared" si="2"/>
        <v>6.8501759678230197E-3</v>
      </c>
    </row>
    <row r="26" spans="2:34" ht="18.5" x14ac:dyDescent="0.45">
      <c r="B26" s="33">
        <v>21</v>
      </c>
      <c r="C26" s="34" t="s">
        <v>49</v>
      </c>
      <c r="D26" s="113">
        <v>3.0503050305030499E-3</v>
      </c>
      <c r="E26" s="113">
        <v>0.108760876087608</v>
      </c>
      <c r="F26" s="113">
        <v>1.5851585158515799E-2</v>
      </c>
      <c r="G26" s="113">
        <v>6.5506550655065497E-3</v>
      </c>
      <c r="H26" s="113">
        <v>1.28512851285128E-2</v>
      </c>
      <c r="I26" s="113">
        <v>4.0504050405040497E-3</v>
      </c>
      <c r="J26" s="113">
        <v>7.6507650765076504E-3</v>
      </c>
      <c r="K26" s="113">
        <v>6.1506150615061499E-3</v>
      </c>
      <c r="L26" s="113">
        <v>1.19511951195119E-2</v>
      </c>
      <c r="M26" s="113">
        <v>7.0857085708570799E-2</v>
      </c>
      <c r="N26" s="113">
        <v>7.8507850785078503E-3</v>
      </c>
      <c r="O26" s="113">
        <v>7.7507750775077499E-3</v>
      </c>
      <c r="P26" s="113">
        <v>4.8054805480548003E-2</v>
      </c>
      <c r="Q26" s="113">
        <v>5.3505350535053503E-3</v>
      </c>
      <c r="R26" s="113">
        <v>3.3653365336533597E-2</v>
      </c>
      <c r="S26" s="113">
        <v>3.65036503650365E-3</v>
      </c>
      <c r="T26" s="113">
        <v>5.1505150515051496E-3</v>
      </c>
      <c r="U26" s="113">
        <v>1.9951995199519901E-2</v>
      </c>
      <c r="V26" s="113">
        <v>6.3506350635063498E-3</v>
      </c>
      <c r="W26" s="114">
        <v>0.61451145114511396</v>
      </c>
      <c r="X26" s="26">
        <f t="shared" si="1"/>
        <v>0.99999999999999845</v>
      </c>
      <c r="Y26" s="61">
        <f t="shared" si="2"/>
        <v>0.61451145114511396</v>
      </c>
      <c r="Z26" s="61">
        <f t="shared" si="2"/>
        <v>0.108760876087608</v>
      </c>
      <c r="AA26" s="61">
        <f t="shared" si="2"/>
        <v>7.0857085708570799E-2</v>
      </c>
      <c r="AB26" s="61">
        <f t="shared" si="2"/>
        <v>4.8054805480548003E-2</v>
      </c>
      <c r="AC26" s="61">
        <f t="shared" si="2"/>
        <v>3.3653365336533597E-2</v>
      </c>
      <c r="AD26" s="61">
        <f t="shared" si="2"/>
        <v>1.9951995199519901E-2</v>
      </c>
      <c r="AE26" s="61">
        <f t="shared" si="2"/>
        <v>1.5851585158515799E-2</v>
      </c>
      <c r="AF26" s="61">
        <f t="shared" si="2"/>
        <v>1.28512851285128E-2</v>
      </c>
      <c r="AG26" s="61">
        <f t="shared" si="2"/>
        <v>1.19511951195119E-2</v>
      </c>
      <c r="AH26" s="61">
        <f t="shared" si="2"/>
        <v>7.8507850785078503E-3</v>
      </c>
    </row>
    <row r="27" spans="2:34" ht="18.5" x14ac:dyDescent="0.45">
      <c r="B27" s="33">
        <v>22</v>
      </c>
      <c r="C27" s="34" t="s">
        <v>60</v>
      </c>
      <c r="D27" s="113">
        <v>7.6575187583513204E-3</v>
      </c>
      <c r="E27" s="113">
        <v>0.116815705622366</v>
      </c>
      <c r="F27" s="113">
        <v>1.33107205262616E-2</v>
      </c>
      <c r="G27" s="113">
        <v>1.0843868845718901E-2</v>
      </c>
      <c r="H27" s="113">
        <v>3.34052831740158E-3</v>
      </c>
      <c r="I27" s="113">
        <v>3.34052831740158E-3</v>
      </c>
      <c r="J27" s="113">
        <v>2.6210299105766202E-3</v>
      </c>
      <c r="K27" s="113">
        <v>5.8073799979442902E-3</v>
      </c>
      <c r="L27" s="113">
        <v>1.05355123856511E-2</v>
      </c>
      <c r="M27" s="113">
        <v>4.8823106177407699E-3</v>
      </c>
      <c r="N27" s="113">
        <v>5.29345256449789E-3</v>
      </c>
      <c r="O27" s="113">
        <v>4.0600267242265299E-3</v>
      </c>
      <c r="P27" s="113">
        <v>0.74863809230136702</v>
      </c>
      <c r="Q27" s="113">
        <v>4.9850961044300502E-3</v>
      </c>
      <c r="R27" s="113">
        <v>5.3962380511871702E-3</v>
      </c>
      <c r="S27" s="113">
        <v>4.0600267242265299E-3</v>
      </c>
      <c r="T27" s="113">
        <v>1.47497173399116E-2</v>
      </c>
      <c r="U27" s="113">
        <v>1.24884366327474E-2</v>
      </c>
      <c r="V27" s="113">
        <v>2.7238153972659E-3</v>
      </c>
      <c r="W27" s="114">
        <v>1.8449994860725599E-2</v>
      </c>
      <c r="X27" s="26">
        <f t="shared" si="1"/>
        <v>0.99999999999999944</v>
      </c>
      <c r="Y27" s="61">
        <f t="shared" si="2"/>
        <v>0.74863809230136702</v>
      </c>
      <c r="Z27" s="61">
        <f t="shared" si="2"/>
        <v>0.116815705622366</v>
      </c>
      <c r="AA27" s="61">
        <f t="shared" si="2"/>
        <v>1.8449994860725599E-2</v>
      </c>
      <c r="AB27" s="61">
        <f t="shared" si="2"/>
        <v>1.47497173399116E-2</v>
      </c>
      <c r="AC27" s="61">
        <f t="shared" si="2"/>
        <v>1.33107205262616E-2</v>
      </c>
      <c r="AD27" s="61">
        <f t="shared" si="2"/>
        <v>1.24884366327474E-2</v>
      </c>
      <c r="AE27" s="61">
        <f t="shared" si="2"/>
        <v>1.0843868845718901E-2</v>
      </c>
      <c r="AF27" s="61">
        <f t="shared" si="2"/>
        <v>1.05355123856511E-2</v>
      </c>
      <c r="AG27" s="61">
        <f t="shared" si="2"/>
        <v>7.6575187583513204E-3</v>
      </c>
      <c r="AH27" s="61">
        <f t="shared" si="2"/>
        <v>5.8073799979442902E-3</v>
      </c>
    </row>
    <row r="28" spans="2:34" ht="18.5" x14ac:dyDescent="0.45">
      <c r="B28" s="33">
        <v>23</v>
      </c>
      <c r="C28" s="34" t="s">
        <v>285</v>
      </c>
      <c r="D28" s="113">
        <v>3.8784571764831702E-3</v>
      </c>
      <c r="E28" s="113">
        <v>9.8726796126892405E-2</v>
      </c>
      <c r="F28" s="113">
        <v>8.3908414914673907E-2</v>
      </c>
      <c r="G28" s="113">
        <v>1.06189482694056E-2</v>
      </c>
      <c r="H28" s="113">
        <v>0.15698389771572199</v>
      </c>
      <c r="I28" s="113">
        <v>4.0897662226501902E-2</v>
      </c>
      <c r="J28" s="113">
        <v>4.94570159952923E-2</v>
      </c>
      <c r="K28" s="113">
        <v>6.4997592681752502E-3</v>
      </c>
      <c r="L28" s="113">
        <v>6.5532552292301904E-3</v>
      </c>
      <c r="M28" s="113">
        <v>4.73706735141496E-2</v>
      </c>
      <c r="N28" s="113">
        <v>9.6372973840474996E-2</v>
      </c>
      <c r="O28" s="113">
        <v>6.0717915797357299E-3</v>
      </c>
      <c r="P28" s="113">
        <v>4.2716524902369803E-2</v>
      </c>
      <c r="Q28" s="113">
        <v>0.22588669555448501</v>
      </c>
      <c r="R28" s="113">
        <v>4.7263681592039801E-2</v>
      </c>
      <c r="S28" s="113">
        <v>2.5410581501096601E-3</v>
      </c>
      <c r="T28" s="113">
        <v>2.7042208313272299E-2</v>
      </c>
      <c r="U28" s="113">
        <v>1.2116835178943901E-2</v>
      </c>
      <c r="V28" s="113">
        <v>1.08864280746803E-2</v>
      </c>
      <c r="W28" s="114">
        <v>2.4206922377360499E-2</v>
      </c>
      <c r="X28" s="26">
        <f t="shared" si="1"/>
        <v>0.99999999999999833</v>
      </c>
      <c r="Y28" s="61">
        <f t="shared" si="2"/>
        <v>0.22588669555448501</v>
      </c>
      <c r="Z28" s="61">
        <f t="shared" si="2"/>
        <v>0.15698389771572199</v>
      </c>
      <c r="AA28" s="61">
        <f t="shared" si="2"/>
        <v>9.8726796126892405E-2</v>
      </c>
      <c r="AB28" s="61">
        <f t="shared" si="2"/>
        <v>9.6372973840474996E-2</v>
      </c>
      <c r="AC28" s="61">
        <f t="shared" si="2"/>
        <v>8.3908414914673907E-2</v>
      </c>
      <c r="AD28" s="61">
        <f t="shared" si="2"/>
        <v>4.94570159952923E-2</v>
      </c>
      <c r="AE28" s="61">
        <f t="shared" si="2"/>
        <v>4.73706735141496E-2</v>
      </c>
      <c r="AF28" s="61">
        <f t="shared" si="2"/>
        <v>4.7263681592039801E-2</v>
      </c>
      <c r="AG28" s="61">
        <f t="shared" si="2"/>
        <v>4.2716524902369803E-2</v>
      </c>
      <c r="AH28" s="61">
        <f t="shared" si="2"/>
        <v>4.0897662226501902E-2</v>
      </c>
    </row>
    <row r="29" spans="2:34" ht="18.5" x14ac:dyDescent="0.45">
      <c r="B29" s="33">
        <v>24</v>
      </c>
      <c r="C29" s="34" t="s">
        <v>286</v>
      </c>
      <c r="D29" s="113">
        <v>4.7176454020560398E-3</v>
      </c>
      <c r="E29" s="113">
        <v>0.114420504154344</v>
      </c>
      <c r="F29" s="113">
        <v>2.86579355020419E-2</v>
      </c>
      <c r="G29" s="113">
        <v>2.2320799887339801E-2</v>
      </c>
      <c r="H29" s="113">
        <v>0.123010843543162</v>
      </c>
      <c r="I29" s="113">
        <v>0.37382058864948597</v>
      </c>
      <c r="J29" s="113">
        <v>9.3648781861709607E-3</v>
      </c>
      <c r="K29" s="113">
        <v>9.6465286579354992E-3</v>
      </c>
      <c r="L29" s="113">
        <v>3.87269398676242E-3</v>
      </c>
      <c r="M29" s="113">
        <v>6.2596817349669001E-2</v>
      </c>
      <c r="N29" s="113">
        <v>1.8940994226165301E-2</v>
      </c>
      <c r="O29" s="113">
        <v>4.85847063793831E-3</v>
      </c>
      <c r="P29" s="113">
        <v>9.3648781861709607E-3</v>
      </c>
      <c r="Q29" s="113">
        <v>3.3586818757921397E-2</v>
      </c>
      <c r="R29" s="113">
        <v>8.3438952260245003E-2</v>
      </c>
      <c r="S29" s="113">
        <v>6.1258977608787497E-3</v>
      </c>
      <c r="T29" s="113">
        <v>1.54203633291085E-2</v>
      </c>
      <c r="U29" s="113">
        <v>5.5133079847908703E-2</v>
      </c>
      <c r="V29" s="113">
        <v>1.0773130544993599E-2</v>
      </c>
      <c r="W29" s="114">
        <v>9.9281791297000394E-3</v>
      </c>
      <c r="X29" s="26">
        <f t="shared" si="1"/>
        <v>0.99999999999999811</v>
      </c>
      <c r="Y29" s="61">
        <f t="shared" si="2"/>
        <v>0.37382058864948597</v>
      </c>
      <c r="Z29" s="61">
        <f t="shared" si="2"/>
        <v>0.123010843543162</v>
      </c>
      <c r="AA29" s="61">
        <f t="shared" si="2"/>
        <v>0.114420504154344</v>
      </c>
      <c r="AB29" s="61">
        <f t="shared" si="2"/>
        <v>8.3438952260245003E-2</v>
      </c>
      <c r="AC29" s="61">
        <f t="shared" si="2"/>
        <v>6.2596817349669001E-2</v>
      </c>
      <c r="AD29" s="61">
        <f t="shared" si="2"/>
        <v>5.5133079847908703E-2</v>
      </c>
      <c r="AE29" s="61">
        <f t="shared" si="2"/>
        <v>3.3586818757921397E-2</v>
      </c>
      <c r="AF29" s="61">
        <f t="shared" si="2"/>
        <v>2.86579355020419E-2</v>
      </c>
      <c r="AG29" s="61">
        <f t="shared" si="2"/>
        <v>2.2320799887339801E-2</v>
      </c>
      <c r="AH29" s="61">
        <f t="shared" si="2"/>
        <v>1.8940994226165301E-2</v>
      </c>
    </row>
    <row r="30" spans="2:34" ht="18.5" x14ac:dyDescent="0.45">
      <c r="B30" s="33">
        <v>25</v>
      </c>
      <c r="C30" s="34" t="s">
        <v>271</v>
      </c>
      <c r="D30" s="113">
        <v>2.5144637294169998E-2</v>
      </c>
      <c r="E30" s="113">
        <v>9.1010235870048903E-2</v>
      </c>
      <c r="F30" s="113">
        <v>1.35736537605696E-2</v>
      </c>
      <c r="G30" s="113">
        <v>7.4914701082925304E-3</v>
      </c>
      <c r="H30" s="113">
        <v>2.1435988725708299E-2</v>
      </c>
      <c r="I30" s="113">
        <v>1.00133511348464E-2</v>
      </c>
      <c r="J30" s="113">
        <v>3.3897047915739498E-2</v>
      </c>
      <c r="K30" s="113">
        <v>2.17326806111852E-2</v>
      </c>
      <c r="L30" s="113">
        <v>1.4612075359738901E-2</v>
      </c>
      <c r="M30" s="113">
        <v>9.1232754784156597E-3</v>
      </c>
      <c r="N30" s="113">
        <v>1.0458388963061799E-2</v>
      </c>
      <c r="O30" s="113">
        <v>6.4456312119863496E-2</v>
      </c>
      <c r="P30" s="113">
        <v>1.20901943331849E-2</v>
      </c>
      <c r="Q30" s="113">
        <v>1.14968105622311E-2</v>
      </c>
      <c r="R30" s="113">
        <v>0.58885921970034105</v>
      </c>
      <c r="S30" s="113">
        <v>1.0161697077584899E-2</v>
      </c>
      <c r="T30" s="113">
        <v>1.25352321614003E-2</v>
      </c>
      <c r="U30" s="113">
        <v>1.83207239282005E-2</v>
      </c>
      <c r="V30" s="113">
        <v>1.6392226672600499E-2</v>
      </c>
      <c r="W30" s="114">
        <v>7.1947782228155999E-3</v>
      </c>
      <c r="X30" s="26">
        <f t="shared" si="1"/>
        <v>0.999999999999999</v>
      </c>
      <c r="Y30" s="61">
        <f t="shared" si="2"/>
        <v>0.58885921970034105</v>
      </c>
      <c r="Z30" s="61">
        <f t="shared" si="2"/>
        <v>9.1010235870048903E-2</v>
      </c>
      <c r="AA30" s="61">
        <f t="shared" si="2"/>
        <v>6.4456312119863496E-2</v>
      </c>
      <c r="AB30" s="61">
        <f t="shared" si="2"/>
        <v>3.3897047915739498E-2</v>
      </c>
      <c r="AC30" s="61">
        <f t="shared" si="2"/>
        <v>2.5144637294169998E-2</v>
      </c>
      <c r="AD30" s="61">
        <f t="shared" si="2"/>
        <v>2.17326806111852E-2</v>
      </c>
      <c r="AE30" s="61">
        <f t="shared" si="2"/>
        <v>2.1435988725708299E-2</v>
      </c>
      <c r="AF30" s="61">
        <f t="shared" si="2"/>
        <v>1.83207239282005E-2</v>
      </c>
      <c r="AG30" s="61">
        <f t="shared" si="2"/>
        <v>1.6392226672600499E-2</v>
      </c>
      <c r="AH30" s="61">
        <f t="shared" si="2"/>
        <v>1.4612075359738901E-2</v>
      </c>
    </row>
    <row r="31" spans="2:34" ht="18.5" x14ac:dyDescent="0.45">
      <c r="B31" s="33">
        <v>26</v>
      </c>
      <c r="C31" s="34" t="s">
        <v>272</v>
      </c>
      <c r="D31" s="113">
        <v>0.73897370653095795</v>
      </c>
      <c r="E31" s="113">
        <v>5.3552916784468899E-2</v>
      </c>
      <c r="F31" s="113">
        <v>7.0916972952596302E-3</v>
      </c>
      <c r="G31" s="113">
        <v>5.5838281029120702E-3</v>
      </c>
      <c r="H31" s="113">
        <v>3.7932334369993399E-3</v>
      </c>
      <c r="I31" s="113">
        <v>2.1911224201300499E-3</v>
      </c>
      <c r="J31" s="113">
        <v>3.3691452266515799E-3</v>
      </c>
      <c r="K31" s="113">
        <v>2.3348412025256799E-2</v>
      </c>
      <c r="L31" s="113">
        <v>2.4267269814343601E-3</v>
      </c>
      <c r="M31" s="113">
        <v>2.3796060691735001E-3</v>
      </c>
      <c r="N31" s="113">
        <v>1.4371878239562699E-3</v>
      </c>
      <c r="O31" s="113">
        <v>8.1754782772594497E-3</v>
      </c>
      <c r="P31" s="113">
        <v>4.6885307699556997E-3</v>
      </c>
      <c r="Q31" s="113">
        <v>3.6047497879558902E-3</v>
      </c>
      <c r="R31" s="113">
        <v>0.107553482235416</v>
      </c>
      <c r="S31" s="113">
        <v>1.39713504853454E-2</v>
      </c>
      <c r="T31" s="113">
        <v>2.4738478936952202E-3</v>
      </c>
      <c r="U31" s="113">
        <v>5.9607954009989602E-3</v>
      </c>
      <c r="V31" s="113">
        <v>4.2173216473470904E-3</v>
      </c>
      <c r="W31" s="114">
        <v>5.2068608048251802E-3</v>
      </c>
      <c r="X31" s="26">
        <f t="shared" si="1"/>
        <v>0.99999999999999911</v>
      </c>
      <c r="Y31" s="61">
        <f t="shared" si="2"/>
        <v>0.73897370653095795</v>
      </c>
      <c r="Z31" s="61">
        <f t="shared" si="2"/>
        <v>0.107553482235416</v>
      </c>
      <c r="AA31" s="61">
        <f t="shared" si="2"/>
        <v>5.3552916784468899E-2</v>
      </c>
      <c r="AB31" s="61">
        <f t="shared" si="2"/>
        <v>2.3348412025256799E-2</v>
      </c>
      <c r="AC31" s="61">
        <f t="shared" si="2"/>
        <v>1.39713504853454E-2</v>
      </c>
      <c r="AD31" s="61">
        <f t="shared" si="2"/>
        <v>8.1754782772594497E-3</v>
      </c>
      <c r="AE31" s="61">
        <f t="shared" si="2"/>
        <v>7.0916972952596302E-3</v>
      </c>
      <c r="AF31" s="61">
        <f t="shared" si="2"/>
        <v>5.9607954009989602E-3</v>
      </c>
      <c r="AG31" s="61">
        <f t="shared" si="2"/>
        <v>5.5838281029120702E-3</v>
      </c>
      <c r="AH31" s="61">
        <f t="shared" si="2"/>
        <v>5.2068608048251802E-3</v>
      </c>
    </row>
    <row r="32" spans="2:34" ht="18.5" x14ac:dyDescent="0.45">
      <c r="B32" s="33">
        <v>27</v>
      </c>
      <c r="C32" s="34" t="s">
        <v>273</v>
      </c>
      <c r="D32" s="113">
        <v>0.11273609344825899</v>
      </c>
      <c r="E32" s="113">
        <v>9.3189204465168804E-2</v>
      </c>
      <c r="F32" s="113">
        <v>2.8496067071734701E-3</v>
      </c>
      <c r="G32" s="113">
        <v>2.6612029579388598E-3</v>
      </c>
      <c r="H32" s="113">
        <v>3.60322170411191E-3</v>
      </c>
      <c r="I32" s="113">
        <v>5.6756629456926203E-3</v>
      </c>
      <c r="J32" s="113">
        <v>3.74452451603786E-3</v>
      </c>
      <c r="K32" s="113">
        <v>0.51422448306721302</v>
      </c>
      <c r="L32" s="113">
        <v>3.7916254533465199E-3</v>
      </c>
      <c r="M32" s="113">
        <v>2.0959917102350298E-3</v>
      </c>
      <c r="N32" s="113">
        <v>3.9800292025811302E-3</v>
      </c>
      <c r="O32" s="113">
        <v>1.7686401959398902E-2</v>
      </c>
      <c r="P32" s="113">
        <v>2.0017898356177199E-3</v>
      </c>
      <c r="Q32" s="113">
        <v>2.0017898356177199E-3</v>
      </c>
      <c r="R32" s="113">
        <v>0.19803589091422899</v>
      </c>
      <c r="S32" s="113">
        <v>1.7403796335546999E-2</v>
      </c>
      <c r="T32" s="113">
        <v>2.3785973340869401E-3</v>
      </c>
      <c r="U32" s="113">
        <v>1.90758796100042E-3</v>
      </c>
      <c r="V32" s="113">
        <v>6.3821770053223998E-3</v>
      </c>
      <c r="W32" s="114">
        <v>3.65032264142056E-3</v>
      </c>
      <c r="X32" s="26">
        <f t="shared" si="1"/>
        <v>0.99999999999999878</v>
      </c>
      <c r="Y32" s="61">
        <f t="shared" si="2"/>
        <v>0.51422448306721302</v>
      </c>
      <c r="Z32" s="61">
        <f t="shared" si="2"/>
        <v>0.19803589091422899</v>
      </c>
      <c r="AA32" s="61">
        <f t="shared" si="2"/>
        <v>0.11273609344825899</v>
      </c>
      <c r="AB32" s="61">
        <f t="shared" si="2"/>
        <v>9.3189204465168804E-2</v>
      </c>
      <c r="AC32" s="61">
        <f t="shared" si="2"/>
        <v>1.7686401959398902E-2</v>
      </c>
      <c r="AD32" s="61">
        <f t="shared" si="2"/>
        <v>1.7403796335546999E-2</v>
      </c>
      <c r="AE32" s="61">
        <f t="shared" si="2"/>
        <v>6.3821770053223998E-3</v>
      </c>
      <c r="AF32" s="61">
        <f t="shared" si="2"/>
        <v>5.6756629456926203E-3</v>
      </c>
      <c r="AG32" s="61">
        <f t="shared" si="2"/>
        <v>3.9800292025811302E-3</v>
      </c>
      <c r="AH32" s="61">
        <f t="shared" si="2"/>
        <v>3.7916254533465199E-3</v>
      </c>
    </row>
    <row r="33" spans="2:34" ht="18.5" x14ac:dyDescent="0.45">
      <c r="B33" s="33">
        <v>28</v>
      </c>
      <c r="C33" s="34" t="s">
        <v>274</v>
      </c>
      <c r="D33" s="113">
        <v>3.70449985669246E-2</v>
      </c>
      <c r="E33" s="113">
        <v>0.145385497277156</v>
      </c>
      <c r="F33" s="113">
        <v>4.4664182669341699E-3</v>
      </c>
      <c r="G33" s="113">
        <v>1.8391134040317101E-3</v>
      </c>
      <c r="H33" s="113">
        <v>1.45695996942772E-3</v>
      </c>
      <c r="I33" s="113">
        <v>1.40919079010222E-3</v>
      </c>
      <c r="J33" s="113">
        <v>1.9346517626827101E-3</v>
      </c>
      <c r="K33" s="113">
        <v>0.68336199484092797</v>
      </c>
      <c r="L33" s="113">
        <v>1.9346517626827101E-3</v>
      </c>
      <c r="M33" s="113">
        <v>3.55880385974968E-3</v>
      </c>
      <c r="N33" s="113">
        <v>2.4601127352632001E-3</v>
      </c>
      <c r="O33" s="113">
        <v>1.56921754084264E-2</v>
      </c>
      <c r="P33" s="113">
        <v>6.3294162606286402E-3</v>
      </c>
      <c r="Q33" s="113">
        <v>5.0396484188401603E-3</v>
      </c>
      <c r="R33" s="113">
        <v>5.5913824400496699E-2</v>
      </c>
      <c r="S33" s="113">
        <v>1.0963026655201999E-2</v>
      </c>
      <c r="T33" s="113">
        <v>5.0874175981656597E-3</v>
      </c>
      <c r="U33" s="113">
        <v>7.0459539505111296E-3</v>
      </c>
      <c r="V33" s="113">
        <v>7.0459539505111296E-3</v>
      </c>
      <c r="W33" s="114">
        <v>2.0301901213337099E-3</v>
      </c>
      <c r="X33" s="26">
        <f t="shared" si="1"/>
        <v>0.99999999999999833</v>
      </c>
      <c r="Y33" s="61">
        <f t="shared" si="2"/>
        <v>0.68336199484092797</v>
      </c>
      <c r="Z33" s="61">
        <f t="shared" si="2"/>
        <v>0.145385497277156</v>
      </c>
      <c r="AA33" s="61">
        <f t="shared" si="2"/>
        <v>5.5913824400496699E-2</v>
      </c>
      <c r="AB33" s="61">
        <f t="shared" si="2"/>
        <v>3.70449985669246E-2</v>
      </c>
      <c r="AC33" s="61">
        <f t="shared" si="2"/>
        <v>1.56921754084264E-2</v>
      </c>
      <c r="AD33" s="61">
        <f t="shared" si="2"/>
        <v>1.0963026655201999E-2</v>
      </c>
      <c r="AE33" s="61">
        <f t="shared" si="2"/>
        <v>7.0459539505111296E-3</v>
      </c>
      <c r="AF33" s="61">
        <f t="shared" si="2"/>
        <v>7.0459539505111296E-3</v>
      </c>
      <c r="AG33" s="61">
        <f t="shared" si="2"/>
        <v>6.3294162606286402E-3</v>
      </c>
      <c r="AH33" s="61">
        <f t="shared" si="2"/>
        <v>5.0874175981656597E-3</v>
      </c>
    </row>
    <row r="34" spans="2:34" ht="18.5" x14ac:dyDescent="0.45">
      <c r="B34" s="33">
        <v>29</v>
      </c>
      <c r="C34" s="34" t="s">
        <v>275</v>
      </c>
      <c r="D34" s="113">
        <v>0.142198581560283</v>
      </c>
      <c r="E34" s="113">
        <v>0.114113475177304</v>
      </c>
      <c r="F34" s="113">
        <v>3.1914893617021201E-3</v>
      </c>
      <c r="G34" s="113">
        <v>2.7659574468085102E-3</v>
      </c>
      <c r="H34" s="113">
        <v>3.3806146572103999E-3</v>
      </c>
      <c r="I34" s="113">
        <v>3.8534278959810801E-3</v>
      </c>
      <c r="J34" s="113">
        <v>3.5697399527186702E-3</v>
      </c>
      <c r="K34" s="113">
        <v>2.73995271867612E-2</v>
      </c>
      <c r="L34" s="113">
        <v>2.95508274231678E-3</v>
      </c>
      <c r="M34" s="113">
        <v>2.3877068557919602E-3</v>
      </c>
      <c r="N34" s="113">
        <v>4.94089834515366E-3</v>
      </c>
      <c r="O34" s="113">
        <v>3.5011820330969202E-2</v>
      </c>
      <c r="P34" s="113">
        <v>6.0283687943262299E-3</v>
      </c>
      <c r="Q34" s="113">
        <v>2.5295508274231601E-3</v>
      </c>
      <c r="R34" s="113">
        <v>9.1702127659574403E-2</v>
      </c>
      <c r="S34" s="113">
        <v>0.54026004728132304</v>
      </c>
      <c r="T34" s="113">
        <v>4.7517730496453798E-3</v>
      </c>
      <c r="U34" s="113">
        <v>4.5153664302600401E-3</v>
      </c>
      <c r="V34" s="113">
        <v>2.3404255319148899E-3</v>
      </c>
      <c r="W34" s="114">
        <v>2.1040189125295498E-3</v>
      </c>
      <c r="X34" s="26">
        <f t="shared" si="1"/>
        <v>0.99999999999999734</v>
      </c>
      <c r="Y34" s="61">
        <f t="shared" si="2"/>
        <v>0.54026004728132304</v>
      </c>
      <c r="Z34" s="61">
        <f t="shared" si="2"/>
        <v>0.142198581560283</v>
      </c>
      <c r="AA34" s="61">
        <f t="shared" si="2"/>
        <v>0.114113475177304</v>
      </c>
      <c r="AB34" s="61">
        <f t="shared" si="2"/>
        <v>9.1702127659574403E-2</v>
      </c>
      <c r="AC34" s="61">
        <f t="shared" si="2"/>
        <v>3.5011820330969202E-2</v>
      </c>
      <c r="AD34" s="61">
        <f t="shared" si="2"/>
        <v>2.73995271867612E-2</v>
      </c>
      <c r="AE34" s="61">
        <f t="shared" si="2"/>
        <v>6.0283687943262299E-3</v>
      </c>
      <c r="AF34" s="61">
        <f t="shared" si="2"/>
        <v>4.94089834515366E-3</v>
      </c>
      <c r="AG34" s="61">
        <f t="shared" si="2"/>
        <v>4.7517730496453798E-3</v>
      </c>
      <c r="AH34" s="61">
        <f t="shared" si="2"/>
        <v>4.5153664302600401E-3</v>
      </c>
    </row>
    <row r="35" spans="2:34" ht="18.5" x14ac:dyDescent="0.45">
      <c r="B35" s="33">
        <v>30</v>
      </c>
      <c r="C35" s="34" t="s">
        <v>276</v>
      </c>
      <c r="D35" s="113">
        <v>5.9519279553526101E-2</v>
      </c>
      <c r="E35" s="113">
        <v>0.12617326230339901</v>
      </c>
      <c r="F35" s="113">
        <v>3.3929477422628101E-3</v>
      </c>
      <c r="G35" s="113">
        <v>2.1879756468797498E-3</v>
      </c>
      <c r="H35" s="113">
        <v>3.20268899036022E-3</v>
      </c>
      <c r="I35" s="113">
        <v>2.8855910705225698E-3</v>
      </c>
      <c r="J35" s="113">
        <v>3.2661085743277501E-3</v>
      </c>
      <c r="K35" s="113">
        <v>9.9885844748858407E-3</v>
      </c>
      <c r="L35" s="113">
        <v>2.0611364789446902E-3</v>
      </c>
      <c r="M35" s="113">
        <v>1.20814307458143E-2</v>
      </c>
      <c r="N35" s="113">
        <v>2.5050735667174E-3</v>
      </c>
      <c r="O35" s="113">
        <v>0.68046042617960401</v>
      </c>
      <c r="P35" s="113">
        <v>3.13926940639269E-3</v>
      </c>
      <c r="Q35" s="113">
        <v>2.5050735667174E-3</v>
      </c>
      <c r="R35" s="113">
        <v>6.54173008625063E-2</v>
      </c>
      <c r="S35" s="113">
        <v>9.54464738711314E-3</v>
      </c>
      <c r="T35" s="113">
        <v>2.3148148148148099E-3</v>
      </c>
      <c r="U35" s="113">
        <v>2.2513952308472799E-3</v>
      </c>
      <c r="V35" s="113">
        <v>4.7247590055809197E-3</v>
      </c>
      <c r="W35" s="114">
        <v>2.37823439878234E-3</v>
      </c>
      <c r="X35" s="26">
        <f t="shared" si="1"/>
        <v>0.99999999999999922</v>
      </c>
      <c r="Y35" s="61">
        <f t="shared" si="2"/>
        <v>0.68046042617960401</v>
      </c>
      <c r="Z35" s="61">
        <f t="shared" si="2"/>
        <v>0.12617326230339901</v>
      </c>
      <c r="AA35" s="61">
        <f t="shared" si="2"/>
        <v>6.54173008625063E-2</v>
      </c>
      <c r="AB35" s="61">
        <f t="shared" si="2"/>
        <v>5.9519279553526101E-2</v>
      </c>
      <c r="AC35" s="61">
        <f t="shared" si="2"/>
        <v>1.20814307458143E-2</v>
      </c>
      <c r="AD35" s="61">
        <f t="shared" si="2"/>
        <v>9.9885844748858407E-3</v>
      </c>
      <c r="AE35" s="61">
        <f t="shared" si="2"/>
        <v>9.54464738711314E-3</v>
      </c>
      <c r="AF35" s="61">
        <f t="shared" si="2"/>
        <v>4.7247590055809197E-3</v>
      </c>
      <c r="AG35" s="61">
        <f t="shared" si="2"/>
        <v>3.3929477422628101E-3</v>
      </c>
      <c r="AH35" s="61">
        <f t="shared" si="2"/>
        <v>3.2661085743277501E-3</v>
      </c>
    </row>
    <row r="36" spans="2:34" ht="18.5" x14ac:dyDescent="0.45">
      <c r="B36" s="33">
        <v>31</v>
      </c>
      <c r="C36" s="34" t="s">
        <v>277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6"/>
      <c r="X36" s="25"/>
    </row>
    <row r="37" spans="2:34" ht="24.65" customHeight="1" x14ac:dyDescent="0.35">
      <c r="D37" s="110">
        <f>SUM(D6:D35)</f>
        <v>1.2425072691653749</v>
      </c>
      <c r="E37" s="110">
        <f t="shared" ref="E37:W37" si="3">SUM(E6:E35)</f>
        <v>2.8708465158544518</v>
      </c>
      <c r="F37" s="110">
        <f t="shared" si="3"/>
        <v>1.7035225847530511</v>
      </c>
      <c r="G37" s="110">
        <f t="shared" si="3"/>
        <v>1.5749706806399779</v>
      </c>
      <c r="H37" s="110">
        <f t="shared" si="3"/>
        <v>1.5672122421315218</v>
      </c>
      <c r="I37" s="110">
        <f t="shared" si="3"/>
        <v>1.469177353321576</v>
      </c>
      <c r="J37" s="110">
        <f t="shared" si="3"/>
        <v>1.1489484897231723</v>
      </c>
      <c r="K37" s="110">
        <f t="shared" si="3"/>
        <v>1.4316202975074865</v>
      </c>
      <c r="L37" s="110">
        <f t="shared" si="3"/>
        <v>1.5310813052448304</v>
      </c>
      <c r="M37" s="110">
        <f t="shared" si="3"/>
        <v>2.119778209759883</v>
      </c>
      <c r="N37" s="110">
        <f t="shared" si="3"/>
        <v>1.8526157774032879</v>
      </c>
      <c r="O37" s="110">
        <f t="shared" si="3"/>
        <v>1.0302094802330659</v>
      </c>
      <c r="P37" s="110">
        <f t="shared" si="3"/>
        <v>1.2504560831935514</v>
      </c>
      <c r="Q37" s="110">
        <f t="shared" si="3"/>
        <v>1.399460427567736</v>
      </c>
      <c r="R37" s="110">
        <f t="shared" si="3"/>
        <v>1.6804887488838269</v>
      </c>
      <c r="S37" s="110">
        <f t="shared" si="3"/>
        <v>0.71595219213877093</v>
      </c>
      <c r="T37" s="110">
        <f t="shared" si="3"/>
        <v>1.755563152137519</v>
      </c>
      <c r="U37" s="110">
        <f t="shared" si="3"/>
        <v>1.0000640689773304</v>
      </c>
      <c r="V37" s="110">
        <f t="shared" si="3"/>
        <v>0.84235541822416138</v>
      </c>
      <c r="W37" s="110">
        <f t="shared" si="3"/>
        <v>1.8131697031393872</v>
      </c>
    </row>
    <row r="38" spans="2:34" x14ac:dyDescent="0.35">
      <c r="C38">
        <v>1</v>
      </c>
      <c r="D38" s="61">
        <f>LARGE($D$6:$D$35,$C38)</f>
        <v>0.73897370653095795</v>
      </c>
      <c r="E38" s="61">
        <f t="shared" ref="E38:W38" si="4">LARGE($D$6:$D$35,$C38)</f>
        <v>0.73897370653095795</v>
      </c>
      <c r="F38" s="61">
        <f t="shared" si="4"/>
        <v>0.73897370653095795</v>
      </c>
      <c r="G38" s="61">
        <f t="shared" si="4"/>
        <v>0.73897370653095795</v>
      </c>
      <c r="H38" s="61">
        <f t="shared" si="4"/>
        <v>0.73897370653095795</v>
      </c>
      <c r="I38" s="61">
        <f t="shared" si="4"/>
        <v>0.73897370653095795</v>
      </c>
      <c r="J38" s="61">
        <f t="shared" si="4"/>
        <v>0.73897370653095795</v>
      </c>
      <c r="K38" s="61">
        <f t="shared" si="4"/>
        <v>0.73897370653095795</v>
      </c>
      <c r="L38" s="61">
        <f t="shared" si="4"/>
        <v>0.73897370653095795</v>
      </c>
      <c r="M38" s="61">
        <f t="shared" si="4"/>
        <v>0.73897370653095795</v>
      </c>
      <c r="N38" s="61">
        <f t="shared" si="4"/>
        <v>0.73897370653095795</v>
      </c>
      <c r="O38" s="61">
        <f t="shared" si="4"/>
        <v>0.73897370653095795</v>
      </c>
      <c r="P38" s="61">
        <f t="shared" si="4"/>
        <v>0.73897370653095795</v>
      </c>
      <c r="Q38" s="61">
        <f t="shared" si="4"/>
        <v>0.73897370653095795</v>
      </c>
      <c r="R38" s="61">
        <f t="shared" si="4"/>
        <v>0.73897370653095795</v>
      </c>
      <c r="S38" s="61">
        <f t="shared" si="4"/>
        <v>0.73897370653095795</v>
      </c>
      <c r="T38" s="61">
        <f t="shared" si="4"/>
        <v>0.73897370653095795</v>
      </c>
      <c r="U38" s="61">
        <f t="shared" si="4"/>
        <v>0.73897370653095795</v>
      </c>
      <c r="V38" s="61">
        <f t="shared" si="4"/>
        <v>0.73897370653095795</v>
      </c>
      <c r="W38" s="61">
        <f t="shared" si="4"/>
        <v>0.73897370653095795</v>
      </c>
    </row>
    <row r="39" spans="2:34" x14ac:dyDescent="0.35">
      <c r="C39">
        <v>2</v>
      </c>
      <c r="D39" s="61">
        <f>LARGE(D6:D35,$C39)</f>
        <v>0.142198581560283</v>
      </c>
      <c r="E39" s="61">
        <f t="shared" ref="E39:W39" si="5">LARGE(E6:E35,$C39)</f>
        <v>0.14599044746103501</v>
      </c>
      <c r="F39" s="61">
        <f t="shared" si="5"/>
        <v>0.27991052850603398</v>
      </c>
      <c r="G39" s="61">
        <f t="shared" si="5"/>
        <v>0.61725589225589195</v>
      </c>
      <c r="H39" s="61">
        <f t="shared" si="5"/>
        <v>0.15698389771572199</v>
      </c>
      <c r="I39" s="61">
        <f t="shared" si="5"/>
        <v>0.37382058864948597</v>
      </c>
      <c r="J39" s="61">
        <f t="shared" si="5"/>
        <v>0.335568326947637</v>
      </c>
      <c r="K39" s="61">
        <f t="shared" si="5"/>
        <v>0.51422448306721302</v>
      </c>
      <c r="L39" s="61">
        <f t="shared" si="5"/>
        <v>0.61481900452488703</v>
      </c>
      <c r="M39" s="61">
        <f t="shared" si="5"/>
        <v>0.55059074912016104</v>
      </c>
      <c r="N39" s="61">
        <f t="shared" si="5"/>
        <v>0.47638004246284499</v>
      </c>
      <c r="O39" s="61">
        <f t="shared" si="5"/>
        <v>6.4456312119863496E-2</v>
      </c>
      <c r="P39" s="61">
        <f t="shared" si="5"/>
        <v>4.8054805480548003E-2</v>
      </c>
      <c r="Q39" s="61">
        <f t="shared" si="5"/>
        <v>0.37446308452873001</v>
      </c>
      <c r="R39" s="61">
        <f t="shared" si="5"/>
        <v>0.19803589091422899</v>
      </c>
      <c r="S39" s="61">
        <f t="shared" si="5"/>
        <v>1.7403796335546999E-2</v>
      </c>
      <c r="T39" s="61">
        <f t="shared" si="5"/>
        <v>0.28320252385349298</v>
      </c>
      <c r="U39" s="61">
        <f t="shared" si="5"/>
        <v>8.0002513826043203E-2</v>
      </c>
      <c r="V39" s="61">
        <f t="shared" si="5"/>
        <v>2.62847017129356E-2</v>
      </c>
      <c r="W39" s="61">
        <f t="shared" si="5"/>
        <v>0.51870698131759996</v>
      </c>
    </row>
    <row r="40" spans="2:34" x14ac:dyDescent="0.35">
      <c r="C40">
        <v>3</v>
      </c>
      <c r="D40" s="61">
        <f>LARGE(D6:D35,$C40)</f>
        <v>0.11273609344825899</v>
      </c>
      <c r="E40" s="61">
        <f t="shared" ref="E40:W40" si="6">LARGE(E6:E35,$C40)</f>
        <v>0.145385497277156</v>
      </c>
      <c r="F40" s="61">
        <f t="shared" si="6"/>
        <v>0.13254147812971301</v>
      </c>
      <c r="G40" s="61">
        <f t="shared" si="6"/>
        <v>3.9496135702097701E-2</v>
      </c>
      <c r="H40" s="61">
        <f t="shared" si="6"/>
        <v>0.123010843543162</v>
      </c>
      <c r="I40" s="61">
        <f t="shared" si="6"/>
        <v>9.4829379941739497E-2</v>
      </c>
      <c r="J40" s="61">
        <f t="shared" si="6"/>
        <v>4.94570159952923E-2</v>
      </c>
      <c r="K40" s="61">
        <f t="shared" si="6"/>
        <v>2.73995271867612E-2</v>
      </c>
      <c r="L40" s="61">
        <f t="shared" si="6"/>
        <v>1.5547263681592E-2</v>
      </c>
      <c r="M40" s="61">
        <f t="shared" si="6"/>
        <v>0.47652796829751498</v>
      </c>
      <c r="N40" s="61">
        <f t="shared" si="6"/>
        <v>0.14684769038701601</v>
      </c>
      <c r="O40" s="61">
        <f t="shared" si="6"/>
        <v>3.5011820330969202E-2</v>
      </c>
      <c r="P40" s="61">
        <f t="shared" si="6"/>
        <v>4.2716524902369803E-2</v>
      </c>
      <c r="Q40" s="61">
        <f t="shared" si="6"/>
        <v>0.22588669555448501</v>
      </c>
      <c r="R40" s="61">
        <f t="shared" si="6"/>
        <v>0.107553482235416</v>
      </c>
      <c r="S40" s="61">
        <f t="shared" si="6"/>
        <v>1.39713504853454E-2</v>
      </c>
      <c r="T40" s="61">
        <f t="shared" si="6"/>
        <v>0.25978604424993901</v>
      </c>
      <c r="U40" s="61">
        <f t="shared" si="6"/>
        <v>5.5133079847908703E-2</v>
      </c>
      <c r="V40" s="61">
        <f t="shared" si="6"/>
        <v>1.6392226672600499E-2</v>
      </c>
      <c r="W40" s="61">
        <f t="shared" si="6"/>
        <v>0.161484529797287</v>
      </c>
    </row>
    <row r="41" spans="2:34" x14ac:dyDescent="0.35">
      <c r="C41">
        <v>4</v>
      </c>
      <c r="D41" s="61">
        <f>LARGE(D6:D35,$C41)</f>
        <v>5.9519279553526101E-2</v>
      </c>
      <c r="E41" s="61">
        <f t="shared" ref="E41:W41" si="7">LARGE(E6:E35,$C41)</f>
        <v>0.126475055497137</v>
      </c>
      <c r="F41" s="61">
        <f t="shared" si="7"/>
        <v>0.126061571125265</v>
      </c>
      <c r="G41" s="61">
        <f t="shared" si="7"/>
        <v>3.5320432792342898E-2</v>
      </c>
      <c r="H41" s="61">
        <f t="shared" si="7"/>
        <v>9.8130341880341906E-2</v>
      </c>
      <c r="I41" s="61">
        <f t="shared" si="7"/>
        <v>8.1466239902453899E-2</v>
      </c>
      <c r="J41" s="61">
        <f t="shared" si="7"/>
        <v>3.3897047915739498E-2</v>
      </c>
      <c r="K41" s="61">
        <f t="shared" si="7"/>
        <v>2.3348412025256799E-2</v>
      </c>
      <c r="L41" s="61">
        <f t="shared" si="7"/>
        <v>1.46682417798779E-2</v>
      </c>
      <c r="M41" s="61">
        <f t="shared" si="7"/>
        <v>8.1025820773454799E-2</v>
      </c>
      <c r="N41" s="61">
        <f t="shared" si="7"/>
        <v>9.6372973840474996E-2</v>
      </c>
      <c r="O41" s="61">
        <f t="shared" si="7"/>
        <v>2.5749296241099499E-2</v>
      </c>
      <c r="P41" s="61">
        <f t="shared" si="7"/>
        <v>4.0284062342885799E-2</v>
      </c>
      <c r="Q41" s="61">
        <f t="shared" si="7"/>
        <v>3.9152840623428803E-2</v>
      </c>
      <c r="R41" s="61">
        <f t="shared" si="7"/>
        <v>9.1702127659574403E-2</v>
      </c>
      <c r="S41" s="61">
        <f t="shared" si="7"/>
        <v>1.1508527901970499E-2</v>
      </c>
      <c r="T41" s="61">
        <f t="shared" si="7"/>
        <v>0.186158292050011</v>
      </c>
      <c r="U41" s="61">
        <f t="shared" si="7"/>
        <v>2.60149572649572E-2</v>
      </c>
      <c r="V41" s="61">
        <f t="shared" si="7"/>
        <v>1.6177694548481E-2</v>
      </c>
      <c r="W41" s="61">
        <f t="shared" si="7"/>
        <v>8.5049937578027396E-2</v>
      </c>
    </row>
    <row r="42" spans="2:34" x14ac:dyDescent="0.35">
      <c r="C42">
        <v>5</v>
      </c>
      <c r="D42" s="61">
        <f>LARGE(D6:D35,$C42)</f>
        <v>3.70449985669246E-2</v>
      </c>
      <c r="E42" s="61">
        <f t="shared" ref="E42:W42" si="8">LARGE(E6:E35,$C42)</f>
        <v>0.12617326230339901</v>
      </c>
      <c r="F42" s="61">
        <f t="shared" si="8"/>
        <v>0.10744837758112</v>
      </c>
      <c r="G42" s="61">
        <f t="shared" si="8"/>
        <v>2.8530007111986399E-2</v>
      </c>
      <c r="H42" s="61">
        <f t="shared" si="8"/>
        <v>9.2956720765709502E-2</v>
      </c>
      <c r="I42" s="61">
        <f t="shared" si="8"/>
        <v>4.0897662226501902E-2</v>
      </c>
      <c r="J42" s="61">
        <f t="shared" si="8"/>
        <v>2.0651269246774798E-2</v>
      </c>
      <c r="K42" s="61">
        <f t="shared" si="8"/>
        <v>2.17326806111852E-2</v>
      </c>
      <c r="L42" s="61">
        <f t="shared" si="8"/>
        <v>1.4612075359738901E-2</v>
      </c>
      <c r="M42" s="61">
        <f t="shared" si="8"/>
        <v>7.0857085708570799E-2</v>
      </c>
      <c r="N42" s="61">
        <f t="shared" si="8"/>
        <v>4.6559177474003899E-2</v>
      </c>
      <c r="O42" s="61">
        <f t="shared" si="8"/>
        <v>2.12754889721181E-2</v>
      </c>
      <c r="P42" s="61">
        <f t="shared" si="8"/>
        <v>3.9896891351184897E-2</v>
      </c>
      <c r="Q42" s="61">
        <f t="shared" si="8"/>
        <v>3.3586818757921397E-2</v>
      </c>
      <c r="R42" s="61">
        <f t="shared" si="8"/>
        <v>8.3438952260245003E-2</v>
      </c>
      <c r="S42" s="61">
        <f t="shared" si="8"/>
        <v>1.0963026655201999E-2</v>
      </c>
      <c r="T42" s="61">
        <f t="shared" si="8"/>
        <v>0.102874581610553</v>
      </c>
      <c r="U42" s="61">
        <f t="shared" si="8"/>
        <v>2.19696969696969E-2</v>
      </c>
      <c r="V42" s="61">
        <f t="shared" si="8"/>
        <v>1.18778280542986E-2</v>
      </c>
      <c r="W42" s="61">
        <f t="shared" si="8"/>
        <v>6.6121940014438496E-2</v>
      </c>
    </row>
    <row r="43" spans="2:34" x14ac:dyDescent="0.35">
      <c r="C43">
        <v>6</v>
      </c>
      <c r="D43" s="61">
        <f>LARGE(D6:D35,$C43)</f>
        <v>2.5144637294169998E-2</v>
      </c>
      <c r="E43" s="61">
        <f t="shared" ref="E43:W43" si="9">LARGE(E6:E35,$C43)</f>
        <v>0.125658481238349</v>
      </c>
      <c r="F43" s="61">
        <f t="shared" si="9"/>
        <v>8.3908414914673907E-2</v>
      </c>
      <c r="G43" s="61">
        <f t="shared" si="9"/>
        <v>2.4578329067401702E-2</v>
      </c>
      <c r="H43" s="61">
        <f t="shared" si="9"/>
        <v>7.9031465093411996E-2</v>
      </c>
      <c r="I43" s="61">
        <f t="shared" si="9"/>
        <v>3.4764309764309699E-2</v>
      </c>
      <c r="J43" s="61">
        <f t="shared" si="9"/>
        <v>2.0394691126398402E-2</v>
      </c>
      <c r="K43" s="61">
        <f t="shared" si="9"/>
        <v>1.2037037037037001E-2</v>
      </c>
      <c r="L43" s="61">
        <f t="shared" si="9"/>
        <v>1.41963426371511E-2</v>
      </c>
      <c r="M43" s="61">
        <f t="shared" si="9"/>
        <v>6.2596817349669001E-2</v>
      </c>
      <c r="N43" s="61">
        <f t="shared" si="9"/>
        <v>4.50603318250377E-2</v>
      </c>
      <c r="O43" s="61">
        <f t="shared" si="9"/>
        <v>1.7686401959398902E-2</v>
      </c>
      <c r="P43" s="61">
        <f t="shared" si="9"/>
        <v>3.5699813599157103E-2</v>
      </c>
      <c r="Q43" s="61">
        <f t="shared" si="9"/>
        <v>1.75925925925925E-2</v>
      </c>
      <c r="R43" s="61">
        <f t="shared" si="9"/>
        <v>6.54173008625063E-2</v>
      </c>
      <c r="S43" s="61">
        <f t="shared" si="9"/>
        <v>1.0161697077584899E-2</v>
      </c>
      <c r="T43" s="61">
        <f t="shared" si="9"/>
        <v>5.5815647107781897E-2</v>
      </c>
      <c r="U43" s="61">
        <f t="shared" si="9"/>
        <v>1.9951995199519901E-2</v>
      </c>
      <c r="V43" s="61">
        <f t="shared" si="9"/>
        <v>1.08864280746803E-2</v>
      </c>
      <c r="W43" s="61">
        <f t="shared" si="9"/>
        <v>4.5538720538720497E-2</v>
      </c>
    </row>
    <row r="44" spans="2:34" x14ac:dyDescent="0.35">
      <c r="C44">
        <v>7</v>
      </c>
      <c r="D44" s="61">
        <f>LARGE(D6:D35,$C44)</f>
        <v>1.38888888888888E-2</v>
      </c>
      <c r="E44" s="61">
        <f t="shared" ref="E44:W44" si="10">LARGE(E6:E35,$C44)</f>
        <v>0.124213578423327</v>
      </c>
      <c r="F44" s="61">
        <f t="shared" si="10"/>
        <v>6.3183779985947999E-2</v>
      </c>
      <c r="G44" s="61">
        <f t="shared" si="10"/>
        <v>2.2320799887339801E-2</v>
      </c>
      <c r="H44" s="61">
        <f t="shared" si="10"/>
        <v>6.9107744107744104E-2</v>
      </c>
      <c r="I44" s="61">
        <f t="shared" si="10"/>
        <v>3.1981317600786603E-2</v>
      </c>
      <c r="J44" s="61">
        <f t="shared" si="10"/>
        <v>1.3430712839870801E-2</v>
      </c>
      <c r="K44" s="61">
        <f t="shared" si="10"/>
        <v>1.1318407960198999E-2</v>
      </c>
      <c r="L44" s="61">
        <f t="shared" si="10"/>
        <v>1.19511951195119E-2</v>
      </c>
      <c r="M44" s="61">
        <f t="shared" si="10"/>
        <v>4.73706735141496E-2</v>
      </c>
      <c r="N44" s="61">
        <f t="shared" si="10"/>
        <v>4.3633051829773097E-2</v>
      </c>
      <c r="O44" s="61">
        <f t="shared" si="10"/>
        <v>1.56921754084264E-2</v>
      </c>
      <c r="P44" s="61">
        <f t="shared" si="10"/>
        <v>3.5353535353535297E-2</v>
      </c>
      <c r="Q44" s="61">
        <f t="shared" si="10"/>
        <v>1.69220945083014E-2</v>
      </c>
      <c r="R44" s="61">
        <f t="shared" si="10"/>
        <v>5.5913824400496699E-2</v>
      </c>
      <c r="S44" s="61">
        <f t="shared" si="10"/>
        <v>9.54464738711314E-3</v>
      </c>
      <c r="T44" s="61">
        <f t="shared" si="10"/>
        <v>5.52413273001508E-2</v>
      </c>
      <c r="U44" s="61">
        <f t="shared" si="10"/>
        <v>1.83207239282005E-2</v>
      </c>
      <c r="V44" s="61">
        <f t="shared" si="10"/>
        <v>1.0773130544993599E-2</v>
      </c>
      <c r="W44" s="61">
        <f t="shared" si="10"/>
        <v>4.1079059829059801E-2</v>
      </c>
    </row>
    <row r="45" spans="2:34" x14ac:dyDescent="0.35">
      <c r="C45">
        <v>8</v>
      </c>
      <c r="D45" s="61">
        <f>LARGE(D6:D35,$C45)</f>
        <v>1.383547008547E-2</v>
      </c>
      <c r="E45" s="61">
        <f t="shared" ref="E45:W45" si="11">LARGE(E6:E35,$C45)</f>
        <v>0.122206181157095</v>
      </c>
      <c r="F45" s="61">
        <f t="shared" si="11"/>
        <v>5.7614158913485099E-2</v>
      </c>
      <c r="G45" s="61">
        <f t="shared" si="11"/>
        <v>1.9544997486173901E-2</v>
      </c>
      <c r="H45" s="61">
        <f t="shared" si="11"/>
        <v>5.5514096185737903E-2</v>
      </c>
      <c r="I45" s="61">
        <f t="shared" si="11"/>
        <v>2.60149572649572E-2</v>
      </c>
      <c r="J45" s="61">
        <f t="shared" si="11"/>
        <v>1.13636363636363E-2</v>
      </c>
      <c r="K45" s="61">
        <f t="shared" si="11"/>
        <v>1.0288065843621399E-2</v>
      </c>
      <c r="L45" s="61">
        <f t="shared" si="11"/>
        <v>1.05355123856511E-2</v>
      </c>
      <c r="M45" s="61">
        <f t="shared" si="11"/>
        <v>3.7563822027716902E-2</v>
      </c>
      <c r="N45" s="61">
        <f t="shared" si="11"/>
        <v>3.9201078473109101E-2</v>
      </c>
      <c r="O45" s="61">
        <f t="shared" si="11"/>
        <v>1.4773844641101199E-2</v>
      </c>
      <c r="P45" s="61">
        <f t="shared" si="11"/>
        <v>3.2070707070707E-2</v>
      </c>
      <c r="Q45" s="61">
        <f t="shared" si="11"/>
        <v>1.14968105622311E-2</v>
      </c>
      <c r="R45" s="61">
        <f t="shared" si="11"/>
        <v>5.2765468570490699E-2</v>
      </c>
      <c r="S45" s="61">
        <f t="shared" si="11"/>
        <v>8.6700336700336698E-3</v>
      </c>
      <c r="T45" s="61">
        <f t="shared" si="11"/>
        <v>5.23740776387552E-2</v>
      </c>
      <c r="U45" s="61">
        <f t="shared" si="11"/>
        <v>1.38888888888888E-2</v>
      </c>
      <c r="V45" s="61">
        <f t="shared" si="11"/>
        <v>1.07631516867185E-2</v>
      </c>
      <c r="W45" s="61">
        <f t="shared" si="11"/>
        <v>3.9127423822714599E-2</v>
      </c>
    </row>
    <row r="46" spans="2:34" x14ac:dyDescent="0.35">
      <c r="C46">
        <v>9</v>
      </c>
      <c r="D46" s="61">
        <f>LARGE(D6:D35,$C46)</f>
        <v>1.19714847590953E-2</v>
      </c>
      <c r="E46" s="61">
        <f t="shared" ref="E46:W46" si="12">LARGE(E6:E35,$C46)</f>
        <v>0.116815705622366</v>
      </c>
      <c r="F46" s="61">
        <f t="shared" si="12"/>
        <v>5.5236270753512097E-2</v>
      </c>
      <c r="G46" s="61">
        <f t="shared" si="12"/>
        <v>1.8848251523901099E-2</v>
      </c>
      <c r="H46" s="61">
        <f t="shared" si="12"/>
        <v>4.9759894022189097E-2</v>
      </c>
      <c r="I46" s="61">
        <f t="shared" si="12"/>
        <v>2.31757877280265E-2</v>
      </c>
      <c r="J46" s="61">
        <f t="shared" si="12"/>
        <v>9.6847394440392198E-3</v>
      </c>
      <c r="K46" s="61">
        <f t="shared" si="12"/>
        <v>9.9885844748858407E-3</v>
      </c>
      <c r="L46" s="61">
        <f t="shared" si="12"/>
        <v>8.6114921505868001E-3</v>
      </c>
      <c r="M46" s="61">
        <f t="shared" si="12"/>
        <v>3.4979423868312702E-2</v>
      </c>
      <c r="N46" s="61">
        <f t="shared" si="12"/>
        <v>2.9197530864197501E-2</v>
      </c>
      <c r="O46" s="61">
        <f t="shared" si="12"/>
        <v>1.4011944608518701E-2</v>
      </c>
      <c r="P46" s="61">
        <f t="shared" si="12"/>
        <v>3.0309734513274299E-2</v>
      </c>
      <c r="Q46" s="61">
        <f t="shared" si="12"/>
        <v>9.5214439476734494E-3</v>
      </c>
      <c r="R46" s="61">
        <f t="shared" si="12"/>
        <v>4.7263681592039801E-2</v>
      </c>
      <c r="S46" s="61">
        <f t="shared" si="12"/>
        <v>7.4691358024691302E-3</v>
      </c>
      <c r="T46" s="61">
        <f t="shared" si="12"/>
        <v>5.15813876469614E-2</v>
      </c>
      <c r="U46" s="61">
        <f t="shared" si="12"/>
        <v>1.28454493881189E-2</v>
      </c>
      <c r="V46" s="61">
        <f t="shared" si="12"/>
        <v>1.02029651512664E-2</v>
      </c>
      <c r="W46" s="61">
        <f t="shared" si="12"/>
        <v>3.5532578368619699E-2</v>
      </c>
    </row>
    <row r="47" spans="2:34" x14ac:dyDescent="0.35">
      <c r="C47">
        <v>10</v>
      </c>
      <c r="D47" s="61">
        <f>LARGE(D6:D35,$C47)</f>
        <v>7.6575187583513204E-3</v>
      </c>
      <c r="E47" s="61">
        <f t="shared" ref="E47:W47" si="13">LARGE(E6:E35,$C47)</f>
        <v>0.114420504154344</v>
      </c>
      <c r="F47" s="61">
        <f t="shared" si="13"/>
        <v>5.4945892394452002E-2</v>
      </c>
      <c r="G47" s="61">
        <f t="shared" si="13"/>
        <v>1.4773844641101199E-2</v>
      </c>
      <c r="H47" s="61">
        <f t="shared" si="13"/>
        <v>4.9038688369898498E-2</v>
      </c>
      <c r="I47" s="61">
        <f t="shared" si="13"/>
        <v>2.3024691358024599E-2</v>
      </c>
      <c r="J47" s="61">
        <f t="shared" si="13"/>
        <v>9.6803832775480703E-3</v>
      </c>
      <c r="K47" s="61">
        <f t="shared" si="13"/>
        <v>9.7862089732008405E-3</v>
      </c>
      <c r="L47" s="61">
        <f t="shared" si="13"/>
        <v>6.8097876269621396E-3</v>
      </c>
      <c r="M47" s="61">
        <f t="shared" si="13"/>
        <v>2.1437009241887201E-2</v>
      </c>
      <c r="N47" s="61">
        <f t="shared" si="13"/>
        <v>2.1730402489210002E-2</v>
      </c>
      <c r="O47" s="61">
        <f t="shared" si="13"/>
        <v>1.3581101877500701E-2</v>
      </c>
      <c r="P47" s="61">
        <f t="shared" si="13"/>
        <v>3.0237407763875498E-2</v>
      </c>
      <c r="Q47" s="61">
        <f t="shared" si="13"/>
        <v>9.3283582089552196E-3</v>
      </c>
      <c r="R47" s="61">
        <f t="shared" si="13"/>
        <v>4.6367395156526797E-2</v>
      </c>
      <c r="S47" s="61">
        <f t="shared" si="13"/>
        <v>7.37729599518217E-3</v>
      </c>
      <c r="T47" s="61">
        <f t="shared" si="13"/>
        <v>4.4368007782641897E-2</v>
      </c>
      <c r="U47" s="61">
        <f t="shared" si="13"/>
        <v>1.24884366327474E-2</v>
      </c>
      <c r="V47" s="61">
        <f t="shared" si="13"/>
        <v>9.1346153846153799E-3</v>
      </c>
      <c r="W47" s="61">
        <f t="shared" si="13"/>
        <v>2.4206922377360499E-2</v>
      </c>
    </row>
  </sheetData>
  <conditionalFormatting sqref="Y6:AH35 D38:W47">
    <cfRule type="cellIs" dxfId="0" priority="37" operator="greaterThan">
      <formula>$AA$4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3DF7AF5A199947933937B8420EC729" ma:contentTypeVersion="10" ma:contentTypeDescription="Create a new document." ma:contentTypeScope="" ma:versionID="f74088d88c0ac8af4d8c4169fbf83a05">
  <xsd:schema xmlns:xsd="http://www.w3.org/2001/XMLSchema" xmlns:xs="http://www.w3.org/2001/XMLSchema" xmlns:p="http://schemas.microsoft.com/office/2006/metadata/properties" xmlns:ns2="8150af18-1a6d-442b-9542-ed7244d4d730" xmlns:ns3="1d686c7d-5bcb-4def-bd4c-6f5f16fe9ff5" targetNamespace="http://schemas.microsoft.com/office/2006/metadata/properties" ma:root="true" ma:fieldsID="e1fd50fff5e5513a20774e08ef11300b" ns2:_="" ns3:_="">
    <xsd:import namespace="8150af18-1a6d-442b-9542-ed7244d4d730"/>
    <xsd:import namespace="1d686c7d-5bcb-4def-bd4c-6f5f16fe9f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50af18-1a6d-442b-9542-ed7244d4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86c7d-5bcb-4def-bd4c-6f5f16fe9f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E75C40-9E7C-412F-8944-FCE76B804C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919CC3-4687-4808-B2C9-1A8F10461026}">
  <ds:schemaRefs>
    <ds:schemaRef ds:uri="http://schemas.openxmlformats.org/package/2006/metadata/core-properties"/>
    <ds:schemaRef ds:uri="1d686c7d-5bcb-4def-bd4c-6f5f16fe9ff5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8150af18-1a6d-442b-9542-ed7244d4d730"/>
    <ds:schemaRef ds:uri="http://www.w3.org/XML/1998/namespace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B85A27B-12E2-46F4-A2AD-871A52C292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50af18-1a6d-442b-9542-ed7244d4d730"/>
    <ds:schemaRef ds:uri="1d686c7d-5bcb-4def-bd4c-6f5f16fe9f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UI_v2</vt:lpstr>
      <vt:lpstr>Job_Topic-Skill_Matrix</vt:lpstr>
      <vt:lpstr>Topic-Module_Matrix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Cone</dc:creator>
  <cp:keywords/>
  <dc:description/>
  <cp:lastModifiedBy>Daniel Cone</cp:lastModifiedBy>
  <cp:revision/>
  <dcterms:created xsi:type="dcterms:W3CDTF">2021-11-10T13:45:36Z</dcterms:created>
  <dcterms:modified xsi:type="dcterms:W3CDTF">2022-04-27T17:29:25Z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0x010100963DF7AF5A199947933937B8420EC729</vt:lpwstr>
  </property>
</Properties>
</file>