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heet Details" sheetId="1" r:id="rId4"/>
    <sheet state="visible" name="INFY.NS" sheetId="2" r:id="rId5"/>
    <sheet state="visible" name="IRCTC.NS" sheetId="3" r:id="rId6"/>
    <sheet state="visible" name="TATAELXSI.NS" sheetId="4" r:id="rId7"/>
    <sheet state="visible" name="Analysis" sheetId="5" r:id="rId8"/>
    <sheet state="visible" name="Returns Data" sheetId="6" r:id="rId9"/>
  </sheets>
  <definedNames/>
  <calcPr/>
</workbook>
</file>

<file path=xl/sharedStrings.xml><?xml version="1.0" encoding="utf-8"?>
<sst xmlns="http://schemas.openxmlformats.org/spreadsheetml/2006/main" count="68" uniqueCount="35">
  <si>
    <t>Subsheet</t>
  </si>
  <si>
    <t>Description</t>
  </si>
  <si>
    <t>Links</t>
  </si>
  <si>
    <t>INFY.NS</t>
  </si>
  <si>
    <t>Hisotrical Data for Infosys Limited (INFY.NS)</t>
  </si>
  <si>
    <t>IRCTC.NS</t>
  </si>
  <si>
    <t>Hisotrical Data for Indian Railway Catering &amp; Tourism Corporation Limited (IRCTC.NS)</t>
  </si>
  <si>
    <t>TATAELXSI.NS</t>
  </si>
  <si>
    <t>Hisotrical Data for Tata Elxsi Limited (TATAELXSI.NS)</t>
  </si>
  <si>
    <t>Analysis</t>
  </si>
  <si>
    <t>- Cleaned Returns data for each asset
- TimeGraphs for each asset return
- Descriptive Statistics
- Correlation Matrix</t>
  </si>
  <si>
    <t>Returns Data</t>
  </si>
  <si>
    <t>- Data Used for Python Analysis
- Combined Index based on Correlation Matrix
- Python Analysis file</t>
  </si>
  <si>
    <t>Financial Analytics - Asset Analysis.ipynb</t>
  </si>
  <si>
    <t>Date</t>
  </si>
  <si>
    <t>Open</t>
  </si>
  <si>
    <t>High</t>
  </si>
  <si>
    <t>Low</t>
  </si>
  <si>
    <t>Close</t>
  </si>
  <si>
    <t>Adj Close</t>
  </si>
  <si>
    <t>Volume</t>
  </si>
  <si>
    <t>Return - INFY</t>
  </si>
  <si>
    <t>Return - IRCTC</t>
  </si>
  <si>
    <t>Return - TATAELXSI</t>
  </si>
  <si>
    <t>Descriptive Statistics</t>
  </si>
  <si>
    <t>Combined Index</t>
  </si>
  <si>
    <t>Max</t>
  </si>
  <si>
    <t>Min</t>
  </si>
  <si>
    <t>Mean</t>
  </si>
  <si>
    <t>Median</t>
  </si>
  <si>
    <t>Data Range</t>
  </si>
  <si>
    <t>Variance</t>
  </si>
  <si>
    <t>Standard Deviation</t>
  </si>
  <si>
    <t>Skewness</t>
  </si>
  <si>
    <t>Correlation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</si>
</sst>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yyyy-mm-dd"/>
  </numFmts>
  <fonts count="11">
    <font>
      <sz val="10.0"/>
      <color rgb="FF000000"/>
      <name val="Arial"/>
      <scheme val="minor"/>
    </font>
    <font>
      <b/>
      <sz val="12.0"/>
      <color theme="1"/>
      <name val="Tahoma"/>
    </font>
    <font>
      <sz val="12.0"/>
      <color theme="1"/>
      <name val="Tahoma"/>
    </font>
    <font>
      <u/>
      <sz val="12.0"/>
      <color rgb="FF0000FF"/>
      <name val="Tahoma"/>
    </font>
    <font>
      <u/>
      <sz val="12.0"/>
      <color rgb="FF0000FF"/>
      <name val="Tahoma"/>
    </font>
    <font>
      <u/>
      <sz val="12.0"/>
      <color theme="1"/>
      <name val="Tahoma"/>
    </font>
    <font>
      <color theme="1"/>
      <name val="Tahoma"/>
    </font>
    <font>
      <b/>
      <color theme="1"/>
      <name val="Tahoma"/>
    </font>
    <font>
      <b/>
      <i/>
      <sz val="11.0"/>
      <color theme="1"/>
      <name val="Tahoma"/>
    </font>
    <font>
      <b/>
      <i/>
      <color theme="1"/>
      <name val="Tahoma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vertical="center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horizontal="center" readingOrder="0"/>
    </xf>
    <xf borderId="0" fillId="0" fontId="6" numFmtId="0" xfId="0" applyFont="1"/>
    <xf borderId="0" fillId="0" fontId="6" numFmtId="165" xfId="0" applyAlignment="1" applyFont="1" applyNumberFormat="1">
      <alignment readingOrder="0"/>
    </xf>
    <xf borderId="0" fillId="0" fontId="6" numFmtId="164" xfId="0" applyAlignment="1" applyFont="1" applyNumberFormat="1">
      <alignment horizontal="center"/>
    </xf>
    <xf borderId="9" fillId="2" fontId="7" numFmtId="0" xfId="0" applyAlignment="1" applyBorder="1" applyFill="1" applyFont="1">
      <alignment horizontal="center" vertical="center"/>
    </xf>
    <xf borderId="9" fillId="3" fontId="7" numFmtId="164" xfId="0" applyAlignment="1" applyBorder="1" applyFill="1" applyFont="1" applyNumberFormat="1">
      <alignment horizontal="center" readingOrder="0" vertical="center"/>
    </xf>
    <xf borderId="9" fillId="4" fontId="7" numFmtId="0" xfId="0" applyAlignment="1" applyBorder="1" applyFill="1" applyFont="1">
      <alignment horizontal="center" readingOrder="0" vertical="center"/>
    </xf>
    <xf borderId="9" fillId="5" fontId="7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  <xf borderId="9" fillId="2" fontId="8" numFmtId="0" xfId="0" applyAlignment="1" applyBorder="1" applyFont="1">
      <alignment horizontal="center" readingOrder="0" vertical="center"/>
    </xf>
    <xf borderId="9" fillId="4" fontId="7" numFmtId="0" xfId="0" applyAlignment="1" applyBorder="1" applyFont="1">
      <alignment readingOrder="0" vertical="center"/>
    </xf>
    <xf borderId="9" fillId="5" fontId="7" numFmtId="0" xfId="0" applyAlignment="1" applyBorder="1" applyFont="1">
      <alignment readingOrder="0" vertical="center"/>
    </xf>
    <xf borderId="9" fillId="6" fontId="7" numFmtId="0" xfId="0" applyAlignment="1" applyBorder="1" applyFill="1" applyFont="1">
      <alignment horizontal="center" readingOrder="0" vertical="center"/>
    </xf>
    <xf borderId="9" fillId="7" fontId="7" numFmtId="0" xfId="0" applyAlignment="1" applyBorder="1" applyFill="1" applyFont="1">
      <alignment horizontal="center" readingOrder="0" vertical="center"/>
    </xf>
    <xf borderId="9" fillId="8" fontId="7" numFmtId="0" xfId="0" applyAlignment="1" applyBorder="1" applyFill="1" applyFont="1">
      <alignment horizontal="center" readingOrder="0" vertical="center"/>
    </xf>
    <xf borderId="0" fillId="0" fontId="6" numFmtId="165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9" fillId="0" fontId="9" numFmtId="0" xfId="0" applyAlignment="1" applyBorder="1" applyFont="1">
      <alignment horizontal="right" readingOrder="0" vertical="center"/>
    </xf>
    <xf borderId="10" fillId="0" fontId="6" numFmtId="164" xfId="0" applyAlignment="1" applyBorder="1" applyFont="1" applyNumberFormat="1">
      <alignment vertical="center"/>
    </xf>
    <xf borderId="11" fillId="0" fontId="6" numFmtId="164" xfId="0" applyAlignment="1" applyBorder="1" applyFont="1" applyNumberFormat="1">
      <alignment vertical="center"/>
    </xf>
    <xf borderId="12" fillId="0" fontId="6" numFmtId="164" xfId="0" applyAlignment="1" applyBorder="1" applyFont="1" applyNumberFormat="1">
      <alignment vertical="center"/>
    </xf>
    <xf borderId="12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9" fillId="0" fontId="6" numFmtId="164" xfId="0" applyAlignment="1" applyBorder="1" applyFont="1" applyNumberFormat="1">
      <alignment vertical="center"/>
    </xf>
    <xf borderId="2" fillId="0" fontId="6" numFmtId="164" xfId="0" applyAlignment="1" applyBorder="1" applyFont="1" applyNumberFormat="1">
      <alignment vertical="center"/>
    </xf>
    <xf borderId="13" fillId="0" fontId="6" numFmtId="164" xfId="0" applyAlignment="1" applyBorder="1" applyFont="1" applyNumberFormat="1">
      <alignment vertical="center"/>
    </xf>
    <xf borderId="14" fillId="0" fontId="6" numFmtId="164" xfId="0" applyAlignment="1" applyBorder="1" applyFont="1" applyNumberFormat="1">
      <alignment vertical="center"/>
    </xf>
    <xf borderId="14" fillId="0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9" fillId="2" fontId="8" numFmtId="0" xfId="0" applyAlignment="1" applyBorder="1" applyFont="1">
      <alignment horizontal="center" vertical="center"/>
    </xf>
    <xf borderId="9" fillId="3" fontId="7" numFmtId="164" xfId="0" applyAlignment="1" applyBorder="1" applyFont="1" applyNumberFormat="1">
      <alignment horizontal="right" vertical="center"/>
    </xf>
    <xf borderId="10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right" vertical="center"/>
    </xf>
    <xf borderId="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vertical="center"/>
    </xf>
    <xf borderId="9" fillId="5" fontId="7" numFmtId="0" xfId="0" applyAlignment="1" applyBorder="1" applyFont="1">
      <alignment horizontal="right" vertical="center"/>
    </xf>
    <xf borderId="6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readingOrder="0" vertical="center"/>
    </xf>
    <xf borderId="0" fillId="0" fontId="10" numFmtId="0" xfId="0" applyAlignment="1" applyFont="1">
      <alignment vertical="center"/>
    </xf>
    <xf borderId="9" fillId="0" fontId="6" numFmtId="164" xfId="0" applyAlignment="1" applyBorder="1" applyFont="1" applyNumberFormat="1">
      <alignment horizontal="center" vertical="center"/>
    </xf>
    <xf borderId="9" fillId="3" fontId="7" numFmtId="9" xfId="0" applyAlignment="1" applyBorder="1" applyFont="1" applyNumberForma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9" fillId="4" fontId="7" numFmtId="9" xfId="0" applyAlignment="1" applyBorder="1" applyFont="1" applyNumberFormat="1">
      <alignment horizontal="center" readingOrder="0" vertical="center"/>
    </xf>
    <xf borderId="9" fillId="5" fontId="7" numFmtId="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A4C2F4"/>
          <bgColor rgb="FFA4C2F4"/>
        </patternFill>
      </fill>
      <border/>
    </dxf>
    <dxf>
      <font>
        <b/>
      </font>
      <fill>
        <patternFill patternType="solid">
          <fgColor rgb="FFFFD966"/>
          <bgColor rgb="FFFFD966"/>
        </patternFill>
      </fill>
      <border/>
    </dxf>
    <dxf>
      <font>
        <b/>
      </font>
      <fill>
        <patternFill patternType="solid">
          <fgColor rgb="FFD5A6BD"/>
          <bgColor rgb="FFD5A6B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Tahoma"/>
              </a:defRPr>
            </a:pPr>
            <a:r>
              <a:rPr b="0">
                <a:solidFill>
                  <a:srgbClr val="757575"/>
                </a:solidFill>
                <a:latin typeface="Tahoma"/>
              </a:rPr>
              <a:t>Return - INFY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Analysis!$B$1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trendline>
            <c:name>Trendline for Return - INFY</c:name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Analysis!$A$2:$A$744</c:f>
            </c:strRef>
          </c:cat>
          <c:val>
            <c:numRef>
              <c:f>Analysis!$B$2:$B$744</c:f>
              <c:numCache/>
            </c:numRef>
          </c:val>
          <c:smooth val="0"/>
        </c:ser>
        <c:axId val="222850304"/>
        <c:axId val="910100539"/>
      </c:lineChart>
      <c:catAx>
        <c:axId val="22285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910100539"/>
      </c:catAx>
      <c:valAx>
        <c:axId val="910100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Return - INFY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2228503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Tahoma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Tahoma"/>
              </a:defRPr>
            </a:pPr>
            <a:r>
              <a:rPr b="0">
                <a:solidFill>
                  <a:srgbClr val="757575"/>
                </a:solidFill>
                <a:latin typeface="Tahoma"/>
              </a:rPr>
              <a:t>Return - TATAELXSI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Analysis!$D$1</c:f>
            </c:strRef>
          </c:tx>
          <c:spPr>
            <a:ln cmpd="sng" w="19050">
              <a:solidFill>
                <a:srgbClr val="F1C232">
                  <a:alpha val="90196"/>
                </a:srgbClr>
              </a:solidFill>
              <a:prstDash val="solid"/>
            </a:ln>
          </c:spPr>
          <c:marker>
            <c:symbol val="none"/>
          </c:marker>
          <c:trendline>
            <c:name>Trendline for Return - TATAELXSI</c:name>
            <c:spPr>
              <a:ln w="19050">
                <a:solidFill>
                  <a:srgbClr val="FF0000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Analysis!$A$2:$A$744</c:f>
            </c:strRef>
          </c:cat>
          <c:val>
            <c:numRef>
              <c:f>Analysis!$D$2:$D$744</c:f>
              <c:numCache/>
            </c:numRef>
          </c:val>
          <c:smooth val="0"/>
        </c:ser>
        <c:axId val="374692059"/>
        <c:axId val="1425057589"/>
      </c:lineChart>
      <c:catAx>
        <c:axId val="374692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1425057589"/>
      </c:catAx>
      <c:valAx>
        <c:axId val="1425057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Return - TATAELXSI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3746920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Tahom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Tahoma"/>
              </a:defRPr>
            </a:pPr>
            <a:r>
              <a:rPr b="0">
                <a:solidFill>
                  <a:srgbClr val="757575"/>
                </a:solidFill>
                <a:latin typeface="Tahoma"/>
              </a:rPr>
              <a:t>Return - IRCTC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Analysis!$C$1</c:f>
            </c:strRef>
          </c:tx>
          <c:spPr>
            <a:ln cmpd="sng" w="19050">
              <a:solidFill>
                <a:srgbClr val="6D9EEB">
                  <a:alpha val="100000"/>
                </a:srgbClr>
              </a:solidFill>
              <a:prstDash val="solid"/>
            </a:ln>
          </c:spPr>
          <c:marker>
            <c:symbol val="none"/>
          </c:marker>
          <c:trendline>
            <c:name>Trendline for Return - IRCTC</c:name>
            <c:spPr>
              <a:ln w="19050">
                <a:solidFill>
                  <a:srgbClr val="000000">
                    <a:alpha val="50196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Analysis!$A$2:$A$744</c:f>
            </c:strRef>
          </c:cat>
          <c:val>
            <c:numRef>
              <c:f>Analysis!$C$2:$C$744</c:f>
              <c:numCache/>
            </c:numRef>
          </c:val>
          <c:smooth val="0"/>
        </c:ser>
        <c:axId val="842820487"/>
        <c:axId val="195037941"/>
      </c:lineChart>
      <c:catAx>
        <c:axId val="842820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195037941"/>
      </c:catAx>
      <c:valAx>
        <c:axId val="195037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Return - IRCTC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842820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Tahoma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Tahoma"/>
              </a:defRPr>
            </a:pPr>
            <a:r>
              <a:rPr b="0">
                <a:solidFill>
                  <a:srgbClr val="434343"/>
                </a:solidFill>
                <a:latin typeface="Tahoma"/>
              </a:rPr>
              <a:t>Return - Combined Index Vs.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'Returns Data'!$F$1</c:f>
            </c:strRef>
          </c:tx>
          <c:spPr>
            <a:ln cmpd="sng">
              <a:solidFill>
                <a:srgbClr val="A64D79">
                  <a:alpha val="100000"/>
                </a:srgbClr>
              </a:solidFill>
            </a:ln>
          </c:spPr>
          <c:marker>
            <c:symbol val="none"/>
          </c:marker>
          <c:trendline>
            <c:name>Trendline for Combined Index</c:name>
            <c:spPr>
              <a:ln w="9525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'Returns Data'!$A$2:$A$999</c:f>
            </c:strRef>
          </c:cat>
          <c:val>
            <c:numRef>
              <c:f>'Returns Data'!$F$2:$F$999</c:f>
              <c:numCache/>
            </c:numRef>
          </c:val>
          <c:smooth val="0"/>
        </c:ser>
        <c:axId val="453852475"/>
        <c:axId val="1893079847"/>
      </c:lineChart>
      <c:catAx>
        <c:axId val="453852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222222"/>
                </a:solidFill>
                <a:latin typeface="Tahoma"/>
              </a:defRPr>
            </a:pPr>
          </a:p>
        </c:txPr>
        <c:crossAx val="1893079847"/>
      </c:catAx>
      <c:valAx>
        <c:axId val="1893079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</a:p>
        </c:txPr>
        <c:crossAx val="4538524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Tahoma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1</xdr:row>
      <xdr:rowOff>0</xdr:rowOff>
    </xdr:from>
    <xdr:ext cx="65913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142875</xdr:colOff>
      <xdr:row>38</xdr:row>
      <xdr:rowOff>9525</xdr:rowOff>
    </xdr:from>
    <xdr:ext cx="65913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142875</xdr:colOff>
      <xdr:row>19</xdr:row>
      <xdr:rowOff>104775</xdr:rowOff>
    </xdr:from>
    <xdr:ext cx="65913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752475</xdr:colOff>
      <xdr:row>1</xdr:row>
      <xdr:rowOff>9525</xdr:rowOff>
    </xdr:from>
    <xdr:ext cx="7105650" cy="41243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-cExaMJqiopVaHyYbArw4eRt5ESN4z9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2" width="45.88"/>
    <col customWidth="1" min="3" max="3" width="40.38"/>
  </cols>
  <sheetData>
    <row r="1">
      <c r="A1" s="1" t="s">
        <v>0</v>
      </c>
      <c r="B1" s="2" t="s">
        <v>1</v>
      </c>
      <c r="C1" s="1" t="s">
        <v>2</v>
      </c>
      <c r="D1" s="3"/>
    </row>
    <row r="2">
      <c r="A2" s="4" t="s">
        <v>3</v>
      </c>
      <c r="B2" s="5" t="s">
        <v>4</v>
      </c>
      <c r="C2" s="6"/>
      <c r="D2" s="3"/>
    </row>
    <row r="3">
      <c r="A3" s="4" t="s">
        <v>5</v>
      </c>
      <c r="B3" s="7" t="s">
        <v>6</v>
      </c>
      <c r="C3" s="8"/>
      <c r="D3" s="3"/>
    </row>
    <row r="4">
      <c r="A4" s="4" t="s">
        <v>7</v>
      </c>
      <c r="B4" s="7" t="s">
        <v>8</v>
      </c>
      <c r="C4" s="8"/>
      <c r="D4" s="3"/>
    </row>
    <row r="5">
      <c r="A5" s="4" t="s">
        <v>9</v>
      </c>
      <c r="B5" s="5" t="s">
        <v>10</v>
      </c>
      <c r="C5" s="9"/>
      <c r="D5" s="3"/>
    </row>
    <row r="6">
      <c r="A6" s="10" t="s">
        <v>11</v>
      </c>
      <c r="B6" s="11" t="s">
        <v>12</v>
      </c>
      <c r="C6" s="12" t="s">
        <v>13</v>
      </c>
      <c r="D6" s="3"/>
    </row>
    <row r="7">
      <c r="A7" s="13"/>
      <c r="B7" s="14"/>
      <c r="C7" s="3"/>
      <c r="D7" s="3"/>
    </row>
    <row r="8">
      <c r="A8" s="13"/>
      <c r="B8" s="14"/>
      <c r="C8" s="3"/>
      <c r="D8" s="3"/>
    </row>
    <row r="9">
      <c r="A9" s="13"/>
      <c r="B9" s="14"/>
      <c r="C9" s="3"/>
      <c r="D9" s="3"/>
    </row>
  </sheetData>
  <hyperlinks>
    <hyperlink display="INFY.NS" location="INFY.NS!A1" ref="A2"/>
    <hyperlink display="IRCTC.NS" location="IRCTC.NS!A1" ref="A3"/>
    <hyperlink display="TATAELXSI.NS" location="TATAELXSI.NS!A1" ref="A4"/>
    <hyperlink display="Analysis" location="Analysis!A1" ref="A5"/>
    <hyperlink display="Returns Data" location="'Returns Data'!A1" ref="A6"/>
    <hyperlink r:id="rId1" location="scrollTo=QV7SL2I0OKE1" ref="C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6" t="s">
        <v>21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44347.0</v>
      </c>
      <c r="B2" s="15">
        <v>1401.5</v>
      </c>
      <c r="C2" s="15">
        <v>1401.5</v>
      </c>
      <c r="D2" s="15">
        <v>1383.0</v>
      </c>
      <c r="E2" s="15">
        <v>1393.75</v>
      </c>
      <c r="F2" s="15">
        <v>1317.266602</v>
      </c>
      <c r="G2" s="15">
        <v>4429904.0</v>
      </c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>
        <v>44348.0</v>
      </c>
      <c r="B3" s="15">
        <v>1400.0</v>
      </c>
      <c r="C3" s="15">
        <v>1401.0</v>
      </c>
      <c r="D3" s="15">
        <v>1378.650024</v>
      </c>
      <c r="E3" s="15">
        <v>1387.199951</v>
      </c>
      <c r="F3" s="15">
        <v>1311.075806</v>
      </c>
      <c r="G3" s="15">
        <v>4791325.0</v>
      </c>
      <c r="H3" s="19">
        <f t="shared" ref="H3:H743" si="1">(E3-E2)/E2</f>
        <v>-0.004699586726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>
        <v>44349.0</v>
      </c>
      <c r="B4" s="15">
        <v>1380.75</v>
      </c>
      <c r="C4" s="15">
        <v>1391.949951</v>
      </c>
      <c r="D4" s="15">
        <v>1365.0</v>
      </c>
      <c r="E4" s="15">
        <v>1378.650024</v>
      </c>
      <c r="F4" s="15">
        <v>1302.995117</v>
      </c>
      <c r="G4" s="15">
        <v>9272276.0</v>
      </c>
      <c r="H4" s="19">
        <f t="shared" si="1"/>
        <v>-0.006163442403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>
        <v>44350.0</v>
      </c>
      <c r="B5" s="15">
        <v>1388.099976</v>
      </c>
      <c r="C5" s="15">
        <v>1399.0</v>
      </c>
      <c r="D5" s="15">
        <v>1377.050049</v>
      </c>
      <c r="E5" s="15">
        <v>1389.650024</v>
      </c>
      <c r="F5" s="15">
        <v>1313.391479</v>
      </c>
      <c r="G5" s="15">
        <v>5115645.0</v>
      </c>
      <c r="H5" s="19">
        <f t="shared" si="1"/>
        <v>0.007978819721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>
        <v>44351.0</v>
      </c>
      <c r="B6" s="15">
        <v>1393.949951</v>
      </c>
      <c r="C6" s="15">
        <v>1396.900024</v>
      </c>
      <c r="D6" s="15">
        <v>1377.650024</v>
      </c>
      <c r="E6" s="15">
        <v>1385.650024</v>
      </c>
      <c r="F6" s="15">
        <v>1309.610962</v>
      </c>
      <c r="G6" s="15">
        <v>4194328.0</v>
      </c>
      <c r="H6" s="19">
        <f t="shared" si="1"/>
        <v>-0.002878422575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>
        <v>44354.0</v>
      </c>
      <c r="B7" s="15">
        <v>1391.0</v>
      </c>
      <c r="C7" s="15">
        <v>1392.0</v>
      </c>
      <c r="D7" s="15">
        <v>1377.300049</v>
      </c>
      <c r="E7" s="15">
        <v>1389.650024</v>
      </c>
      <c r="F7" s="15">
        <v>1313.391479</v>
      </c>
      <c r="G7" s="15">
        <v>5154576.0</v>
      </c>
      <c r="H7" s="19">
        <f t="shared" si="1"/>
        <v>0.002886731809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>
        <v>44355.0</v>
      </c>
      <c r="B8" s="15">
        <v>1396.0</v>
      </c>
      <c r="C8" s="15">
        <v>1421.75</v>
      </c>
      <c r="D8" s="15">
        <v>1395.550049</v>
      </c>
      <c r="E8" s="15">
        <v>1412.949951</v>
      </c>
      <c r="F8" s="15">
        <v>1335.41272</v>
      </c>
      <c r="G8" s="15">
        <v>7360630.0</v>
      </c>
      <c r="H8" s="19">
        <f t="shared" si="1"/>
        <v>0.01676675897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>
        <v>44356.0</v>
      </c>
      <c r="B9" s="15">
        <v>1413.400024</v>
      </c>
      <c r="C9" s="15">
        <v>1425.0</v>
      </c>
      <c r="D9" s="15">
        <v>1404.599976</v>
      </c>
      <c r="E9" s="15">
        <v>1415.300049</v>
      </c>
      <c r="F9" s="15">
        <v>1337.633911</v>
      </c>
      <c r="G9" s="15">
        <v>5394317.0</v>
      </c>
      <c r="H9" s="19">
        <f t="shared" si="1"/>
        <v>0.001663256365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>
        <v>44357.0</v>
      </c>
      <c r="B10" s="15">
        <v>1424.0</v>
      </c>
      <c r="C10" s="15">
        <v>1429.0</v>
      </c>
      <c r="D10" s="15">
        <v>1419.0</v>
      </c>
      <c r="E10" s="15">
        <v>1424.300049</v>
      </c>
      <c r="F10" s="15">
        <v>1346.139893</v>
      </c>
      <c r="G10" s="15">
        <v>3496575.0</v>
      </c>
      <c r="H10" s="19">
        <f t="shared" si="1"/>
        <v>0.006359075594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>
        <v>44358.0</v>
      </c>
      <c r="B11" s="15">
        <v>1430.099976</v>
      </c>
      <c r="C11" s="15">
        <v>1451.599976</v>
      </c>
      <c r="D11" s="15">
        <v>1429.449951</v>
      </c>
      <c r="E11" s="15">
        <v>1446.900024</v>
      </c>
      <c r="F11" s="15">
        <v>1367.499756</v>
      </c>
      <c r="G11" s="15">
        <v>6140828.0</v>
      </c>
      <c r="H11" s="19">
        <f t="shared" si="1"/>
        <v>0.01586742556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>
        <v>44361.0</v>
      </c>
      <c r="B12" s="15">
        <v>1471.0</v>
      </c>
      <c r="C12" s="15">
        <v>1477.0</v>
      </c>
      <c r="D12" s="15">
        <v>1453.449951</v>
      </c>
      <c r="E12" s="15">
        <v>1461.800049</v>
      </c>
      <c r="F12" s="15">
        <v>1381.582153</v>
      </c>
      <c r="G12" s="15">
        <v>7132294.0</v>
      </c>
      <c r="H12" s="19">
        <f t="shared" si="1"/>
        <v>0.01029789533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>
        <v>44362.0</v>
      </c>
      <c r="B13" s="15">
        <v>1464.0</v>
      </c>
      <c r="C13" s="15">
        <v>1476.0</v>
      </c>
      <c r="D13" s="15">
        <v>1463.0</v>
      </c>
      <c r="E13" s="15">
        <v>1473.900024</v>
      </c>
      <c r="F13" s="15">
        <v>1393.018188</v>
      </c>
      <c r="G13" s="15">
        <v>5403104.0</v>
      </c>
      <c r="H13" s="19">
        <f t="shared" si="1"/>
        <v>0.008277448758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>
        <v>44363.0</v>
      </c>
      <c r="B14" s="15">
        <v>1472.699951</v>
      </c>
      <c r="C14" s="15">
        <v>1489.449951</v>
      </c>
      <c r="D14" s="15">
        <v>1467.5</v>
      </c>
      <c r="E14" s="15">
        <v>1480.599976</v>
      </c>
      <c r="F14" s="15">
        <v>1399.350464</v>
      </c>
      <c r="G14" s="15">
        <v>7661710.0</v>
      </c>
      <c r="H14" s="19">
        <f t="shared" si="1"/>
        <v>0.004545730301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>
        <v>44364.0</v>
      </c>
      <c r="B15" s="15">
        <v>1475.099976</v>
      </c>
      <c r="C15" s="15">
        <v>1502.650024</v>
      </c>
      <c r="D15" s="15">
        <v>1475.099976</v>
      </c>
      <c r="E15" s="15">
        <v>1495.300049</v>
      </c>
      <c r="F15" s="15">
        <v>1413.243774</v>
      </c>
      <c r="G15" s="15">
        <v>7677951.0</v>
      </c>
      <c r="H15" s="19">
        <f t="shared" si="1"/>
        <v>0.009928456868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>
        <v>44365.0</v>
      </c>
      <c r="B16" s="15">
        <v>1509.0</v>
      </c>
      <c r="C16" s="15">
        <v>1515.800049</v>
      </c>
      <c r="D16" s="15">
        <v>1487.400024</v>
      </c>
      <c r="E16" s="15">
        <v>1503.300049</v>
      </c>
      <c r="F16" s="15">
        <v>1420.80481</v>
      </c>
      <c r="G16" s="15">
        <v>1.3533974E7</v>
      </c>
      <c r="H16" s="19">
        <f t="shared" si="1"/>
        <v>0.005350096795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44368.0</v>
      </c>
      <c r="B17" s="15">
        <v>1493.0</v>
      </c>
      <c r="C17" s="15">
        <v>1505.800049</v>
      </c>
      <c r="D17" s="15">
        <v>1484.199951</v>
      </c>
      <c r="E17" s="15">
        <v>1500.300049</v>
      </c>
      <c r="F17" s="15">
        <v>1417.96936</v>
      </c>
      <c r="G17" s="15">
        <v>5454052.0</v>
      </c>
      <c r="H17" s="19">
        <f t="shared" si="1"/>
        <v>-0.001995609594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>
        <v>44369.0</v>
      </c>
      <c r="B18" s="15">
        <v>1509.699951</v>
      </c>
      <c r="C18" s="15">
        <v>1521.449951</v>
      </c>
      <c r="D18" s="15">
        <v>1502.099976</v>
      </c>
      <c r="E18" s="15">
        <v>1511.849976</v>
      </c>
      <c r="F18" s="15">
        <v>1428.885498</v>
      </c>
      <c r="G18" s="15">
        <v>6427862.0</v>
      </c>
      <c r="H18" s="19">
        <f t="shared" si="1"/>
        <v>0.0076984114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>
        <v>44370.0</v>
      </c>
      <c r="B19" s="15">
        <v>1525.0</v>
      </c>
      <c r="C19" s="15">
        <v>1525.0</v>
      </c>
      <c r="D19" s="15">
        <v>1498.650024</v>
      </c>
      <c r="E19" s="15">
        <v>1503.150024</v>
      </c>
      <c r="F19" s="15">
        <v>1420.663086</v>
      </c>
      <c r="G19" s="15">
        <v>5529809.0</v>
      </c>
      <c r="H19" s="19">
        <f t="shared" si="1"/>
        <v>-0.005754507483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44371.0</v>
      </c>
      <c r="B20" s="15">
        <v>1517.0</v>
      </c>
      <c r="C20" s="15">
        <v>1568.75</v>
      </c>
      <c r="D20" s="15">
        <v>1511.199951</v>
      </c>
      <c r="E20" s="15">
        <v>1559.199951</v>
      </c>
      <c r="F20" s="15">
        <v>1473.637207</v>
      </c>
      <c r="G20" s="15">
        <v>1.0785137E7</v>
      </c>
      <c r="H20" s="19">
        <f t="shared" si="1"/>
        <v>0.03728831195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>
        <v>44372.0</v>
      </c>
      <c r="B21" s="15">
        <v>1572.0</v>
      </c>
      <c r="C21" s="15">
        <v>1578.0</v>
      </c>
      <c r="D21" s="15">
        <v>1543.0</v>
      </c>
      <c r="E21" s="15">
        <v>1574.199951</v>
      </c>
      <c r="F21" s="15">
        <v>1487.814087</v>
      </c>
      <c r="G21" s="15">
        <v>9780240.0</v>
      </c>
      <c r="H21" s="19">
        <f t="shared" si="1"/>
        <v>0.009620318414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44375.0</v>
      </c>
      <c r="B22" s="15">
        <v>1572.900024</v>
      </c>
      <c r="C22" s="15">
        <v>1580.150024</v>
      </c>
      <c r="D22" s="15">
        <v>1560.599976</v>
      </c>
      <c r="E22" s="15">
        <v>1571.800049</v>
      </c>
      <c r="F22" s="15">
        <v>1485.545654</v>
      </c>
      <c r="G22" s="15">
        <v>5019178.0</v>
      </c>
      <c r="H22" s="19">
        <f t="shared" si="1"/>
        <v>-0.001524521709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44376.0</v>
      </c>
      <c r="B23" s="15">
        <v>1561.0</v>
      </c>
      <c r="C23" s="15">
        <v>1573.650024</v>
      </c>
      <c r="D23" s="15">
        <v>1559.199951</v>
      </c>
      <c r="E23" s="15">
        <v>1563.050049</v>
      </c>
      <c r="F23" s="15">
        <v>1477.276001</v>
      </c>
      <c r="G23" s="15">
        <v>5913567.0</v>
      </c>
      <c r="H23" s="19">
        <f t="shared" si="1"/>
        <v>-0.00556686584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>
        <v>44377.0</v>
      </c>
      <c r="B24" s="15">
        <v>1572.050049</v>
      </c>
      <c r="C24" s="15">
        <v>1591.0</v>
      </c>
      <c r="D24" s="15">
        <v>1572.050049</v>
      </c>
      <c r="E24" s="15">
        <v>1580.800049</v>
      </c>
      <c r="F24" s="15">
        <v>1494.05188</v>
      </c>
      <c r="G24" s="15">
        <v>6058722.0</v>
      </c>
      <c r="H24" s="19">
        <f t="shared" si="1"/>
        <v>0.01135600233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>
        <v>44378.0</v>
      </c>
      <c r="B25" s="15">
        <v>1576.849976</v>
      </c>
      <c r="C25" s="15">
        <v>1576.849976</v>
      </c>
      <c r="D25" s="15">
        <v>1559.050049</v>
      </c>
      <c r="E25" s="15">
        <v>1560.400024</v>
      </c>
      <c r="F25" s="15">
        <v>1474.771362</v>
      </c>
      <c r="G25" s="15">
        <v>4814317.0</v>
      </c>
      <c r="H25" s="19">
        <f t="shared" si="1"/>
        <v>-0.01290487371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44379.0</v>
      </c>
      <c r="B26" s="15">
        <v>1558.949951</v>
      </c>
      <c r="C26" s="15">
        <v>1569.449951</v>
      </c>
      <c r="D26" s="15">
        <v>1542.599976</v>
      </c>
      <c r="E26" s="15">
        <v>1567.800049</v>
      </c>
      <c r="F26" s="15">
        <v>1481.765381</v>
      </c>
      <c r="G26" s="15">
        <v>5166064.0</v>
      </c>
      <c r="H26" s="19">
        <f t="shared" si="1"/>
        <v>0.004742389699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>
        <v>44382.0</v>
      </c>
      <c r="B27" s="15">
        <v>1569.150024</v>
      </c>
      <c r="C27" s="15">
        <v>1585.0</v>
      </c>
      <c r="D27" s="15">
        <v>1561.050049</v>
      </c>
      <c r="E27" s="15">
        <v>1578.949951</v>
      </c>
      <c r="F27" s="15">
        <v>1492.303345</v>
      </c>
      <c r="G27" s="15">
        <v>4058338.0</v>
      </c>
      <c r="H27" s="19">
        <f t="shared" si="1"/>
        <v>0.007111813785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>
        <v>44383.0</v>
      </c>
      <c r="B28" s="15">
        <v>1573.699951</v>
      </c>
      <c r="C28" s="15">
        <v>1586.75</v>
      </c>
      <c r="D28" s="15">
        <v>1557.099976</v>
      </c>
      <c r="E28" s="15">
        <v>1562.199951</v>
      </c>
      <c r="F28" s="15">
        <v>1476.472412</v>
      </c>
      <c r="G28" s="15">
        <v>4089574.0</v>
      </c>
      <c r="H28" s="19">
        <f t="shared" si="1"/>
        <v>-0.01060831598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44384.0</v>
      </c>
      <c r="B29" s="15">
        <v>1566.050049</v>
      </c>
      <c r="C29" s="15">
        <v>1570.550049</v>
      </c>
      <c r="D29" s="15">
        <v>1544.650024</v>
      </c>
      <c r="E29" s="15">
        <v>1564.599976</v>
      </c>
      <c r="F29" s="15">
        <v>1478.740723</v>
      </c>
      <c r="G29" s="15">
        <v>4797120.0</v>
      </c>
      <c r="H29" s="19">
        <f t="shared" si="1"/>
        <v>0.00153631102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>
        <v>44385.0</v>
      </c>
      <c r="B30" s="15">
        <v>1568.0</v>
      </c>
      <c r="C30" s="15">
        <v>1576.0</v>
      </c>
      <c r="D30" s="15">
        <v>1549.0</v>
      </c>
      <c r="E30" s="15">
        <v>1560.75</v>
      </c>
      <c r="F30" s="15">
        <v>1475.102051</v>
      </c>
      <c r="G30" s="15">
        <v>3326813.0</v>
      </c>
      <c r="H30" s="19">
        <f t="shared" si="1"/>
        <v>-0.002460677527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44386.0</v>
      </c>
      <c r="B31" s="15">
        <v>1556.0</v>
      </c>
      <c r="C31" s="15">
        <v>1569.900024</v>
      </c>
      <c r="D31" s="15">
        <v>1551.0</v>
      </c>
      <c r="E31" s="15">
        <v>1562.900024</v>
      </c>
      <c r="F31" s="15">
        <v>1477.134155</v>
      </c>
      <c r="G31" s="15">
        <v>3436594.0</v>
      </c>
      <c r="H31" s="19">
        <f t="shared" si="1"/>
        <v>0.001377558225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>
        <v>44389.0</v>
      </c>
      <c r="B32" s="15">
        <v>1570.550049</v>
      </c>
      <c r="C32" s="15">
        <v>1578.0</v>
      </c>
      <c r="D32" s="15">
        <v>1533.75</v>
      </c>
      <c r="E32" s="15">
        <v>1547.849976</v>
      </c>
      <c r="F32" s="15">
        <v>1462.910034</v>
      </c>
      <c r="G32" s="15">
        <v>4588982.0</v>
      </c>
      <c r="H32" s="19">
        <f t="shared" si="1"/>
        <v>-0.009629565403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44390.0</v>
      </c>
      <c r="B33" s="15">
        <v>1556.400024</v>
      </c>
      <c r="C33" s="15">
        <v>1556.400024</v>
      </c>
      <c r="D33" s="15">
        <v>1536.300049</v>
      </c>
      <c r="E33" s="15">
        <v>1544.949951</v>
      </c>
      <c r="F33" s="15">
        <v>1460.169189</v>
      </c>
      <c r="G33" s="15">
        <v>4456160.0</v>
      </c>
      <c r="H33" s="19">
        <f t="shared" si="1"/>
        <v>-0.001873582741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>
        <v>44391.0</v>
      </c>
      <c r="B34" s="15">
        <v>1554.0</v>
      </c>
      <c r="C34" s="15">
        <v>1582.800049</v>
      </c>
      <c r="D34" s="15">
        <v>1538.099976</v>
      </c>
      <c r="E34" s="15">
        <v>1576.900024</v>
      </c>
      <c r="F34" s="15">
        <v>1490.365845</v>
      </c>
      <c r="G34" s="15">
        <v>5657716.0</v>
      </c>
      <c r="H34" s="19">
        <f t="shared" si="1"/>
        <v>0.02068032882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>
        <v>44392.0</v>
      </c>
      <c r="B35" s="15">
        <v>1557.900024</v>
      </c>
      <c r="C35" s="15">
        <v>1596.849976</v>
      </c>
      <c r="D35" s="15">
        <v>1556.0</v>
      </c>
      <c r="E35" s="15">
        <v>1580.800049</v>
      </c>
      <c r="F35" s="15">
        <v>1494.05188</v>
      </c>
      <c r="G35" s="15">
        <v>1.0021355E7</v>
      </c>
      <c r="H35" s="19">
        <f t="shared" si="1"/>
        <v>0.002473222741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>
        <v>44393.0</v>
      </c>
      <c r="B36" s="15">
        <v>1573.75</v>
      </c>
      <c r="C36" s="15">
        <v>1574.650024</v>
      </c>
      <c r="D36" s="15">
        <v>1549.599976</v>
      </c>
      <c r="E36" s="15">
        <v>1555.449951</v>
      </c>
      <c r="F36" s="15">
        <v>1470.092773</v>
      </c>
      <c r="G36" s="15">
        <v>6265593.0</v>
      </c>
      <c r="H36" s="19">
        <f t="shared" si="1"/>
        <v>-0.01603624571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>
        <v>44396.0</v>
      </c>
      <c r="B37" s="15">
        <v>1544.699951</v>
      </c>
      <c r="C37" s="15">
        <v>1552.900024</v>
      </c>
      <c r="D37" s="15">
        <v>1537.550049</v>
      </c>
      <c r="E37" s="15">
        <v>1541.699951</v>
      </c>
      <c r="F37" s="15">
        <v>1457.097412</v>
      </c>
      <c r="G37" s="15">
        <v>5669162.0</v>
      </c>
      <c r="H37" s="19">
        <f t="shared" si="1"/>
        <v>-0.008839885842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44397.0</v>
      </c>
      <c r="B38" s="15">
        <v>1538.300049</v>
      </c>
      <c r="C38" s="15">
        <v>1557.699951</v>
      </c>
      <c r="D38" s="15">
        <v>1538.0</v>
      </c>
      <c r="E38" s="15">
        <v>1550.050049</v>
      </c>
      <c r="F38" s="15">
        <v>1464.98938</v>
      </c>
      <c r="G38" s="15">
        <v>5069939.0</v>
      </c>
      <c r="H38" s="19">
        <f t="shared" si="1"/>
        <v>0.00541616285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44399.0</v>
      </c>
      <c r="B39" s="15">
        <v>1561.400024</v>
      </c>
      <c r="C39" s="15">
        <v>1592.849976</v>
      </c>
      <c r="D39" s="15">
        <v>1561.400024</v>
      </c>
      <c r="E39" s="15">
        <v>1590.199951</v>
      </c>
      <c r="F39" s="15">
        <v>1502.936035</v>
      </c>
      <c r="G39" s="15">
        <v>7854575.0</v>
      </c>
      <c r="H39" s="19">
        <f t="shared" si="1"/>
        <v>0.0259023262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44400.0</v>
      </c>
      <c r="B40" s="15">
        <v>1588.550049</v>
      </c>
      <c r="C40" s="15">
        <v>1598.5</v>
      </c>
      <c r="D40" s="15">
        <v>1585.050049</v>
      </c>
      <c r="E40" s="15">
        <v>1590.449951</v>
      </c>
      <c r="F40" s="15">
        <v>1503.172363</v>
      </c>
      <c r="G40" s="15">
        <v>4179719.0</v>
      </c>
      <c r="H40" s="19">
        <f t="shared" si="1"/>
        <v>0.000157212934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44403.0</v>
      </c>
      <c r="B41" s="15">
        <v>1594.099976</v>
      </c>
      <c r="C41" s="15">
        <v>1611.650024</v>
      </c>
      <c r="D41" s="15">
        <v>1594.099976</v>
      </c>
      <c r="E41" s="15">
        <v>1603.900024</v>
      </c>
      <c r="F41" s="15">
        <v>1515.884277</v>
      </c>
      <c r="G41" s="15">
        <v>4586710.0</v>
      </c>
      <c r="H41" s="19">
        <f t="shared" si="1"/>
        <v>0.008456772243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>
        <v>44404.0</v>
      </c>
      <c r="B42" s="15">
        <v>1605.0</v>
      </c>
      <c r="C42" s="15">
        <v>1609.300049</v>
      </c>
      <c r="D42" s="15">
        <v>1597.900024</v>
      </c>
      <c r="E42" s="15">
        <v>1602.550049</v>
      </c>
      <c r="F42" s="15">
        <v>1514.608154</v>
      </c>
      <c r="G42" s="15">
        <v>5892859.0</v>
      </c>
      <c r="H42" s="19">
        <f t="shared" si="1"/>
        <v>-0.0008416827606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>
        <v>44405.0</v>
      </c>
      <c r="B43" s="15">
        <v>1605.099976</v>
      </c>
      <c r="C43" s="15">
        <v>1607.599976</v>
      </c>
      <c r="D43" s="15">
        <v>1585.5</v>
      </c>
      <c r="E43" s="15">
        <v>1605.599976</v>
      </c>
      <c r="F43" s="15">
        <v>1517.490967</v>
      </c>
      <c r="G43" s="15">
        <v>4686788.0</v>
      </c>
      <c r="H43" s="19">
        <f t="shared" si="1"/>
        <v>0.001903171138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>
        <v>44406.0</v>
      </c>
      <c r="B44" s="15">
        <v>1600.099976</v>
      </c>
      <c r="C44" s="15">
        <v>1620.0</v>
      </c>
      <c r="D44" s="15">
        <v>1600.099976</v>
      </c>
      <c r="E44" s="15">
        <v>1617.0</v>
      </c>
      <c r="F44" s="15">
        <v>1528.265259</v>
      </c>
      <c r="G44" s="15">
        <v>4660873.0</v>
      </c>
      <c r="H44" s="19">
        <f t="shared" si="1"/>
        <v>0.007100164531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>
        <v>44407.0</v>
      </c>
      <c r="B45" s="15">
        <v>1610.0</v>
      </c>
      <c r="C45" s="15">
        <v>1623.400024</v>
      </c>
      <c r="D45" s="15">
        <v>1606.150024</v>
      </c>
      <c r="E45" s="15">
        <v>1610.5</v>
      </c>
      <c r="F45" s="15">
        <v>1522.12207</v>
      </c>
      <c r="G45" s="15">
        <v>6234257.0</v>
      </c>
      <c r="H45" s="19">
        <f t="shared" si="1"/>
        <v>-0.004019789734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>
        <v>44410.0</v>
      </c>
      <c r="B46" s="15">
        <v>1627.449951</v>
      </c>
      <c r="C46" s="15">
        <v>1634.75</v>
      </c>
      <c r="D46" s="15">
        <v>1619.199951</v>
      </c>
      <c r="E46" s="15">
        <v>1631.550049</v>
      </c>
      <c r="F46" s="15">
        <v>1542.016968</v>
      </c>
      <c r="G46" s="15">
        <v>5553389.0</v>
      </c>
      <c r="H46" s="19">
        <f t="shared" si="1"/>
        <v>0.01307050543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>
        <v>44411.0</v>
      </c>
      <c r="B47" s="15">
        <v>1647.0</v>
      </c>
      <c r="C47" s="15">
        <v>1658.650024</v>
      </c>
      <c r="D47" s="15">
        <v>1635.599976</v>
      </c>
      <c r="E47" s="15">
        <v>1655.199951</v>
      </c>
      <c r="F47" s="15">
        <v>1564.369141</v>
      </c>
      <c r="G47" s="15">
        <v>5513668.0</v>
      </c>
      <c r="H47" s="19">
        <f t="shared" si="1"/>
        <v>0.01449535797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>
        <v>44412.0</v>
      </c>
      <c r="B48" s="15">
        <v>1669.099976</v>
      </c>
      <c r="C48" s="15">
        <v>1679.900024</v>
      </c>
      <c r="D48" s="15">
        <v>1639.050049</v>
      </c>
      <c r="E48" s="15">
        <v>1649.25</v>
      </c>
      <c r="F48" s="15">
        <v>1558.745605</v>
      </c>
      <c r="G48" s="15">
        <v>6740391.0</v>
      </c>
      <c r="H48" s="19">
        <f t="shared" si="1"/>
        <v>-0.003594702257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>
        <v>44413.0</v>
      </c>
      <c r="B49" s="15">
        <v>1649.5</v>
      </c>
      <c r="C49" s="15">
        <v>1666.0</v>
      </c>
      <c r="D49" s="15">
        <v>1647.050049</v>
      </c>
      <c r="E49" s="15">
        <v>1653.550049</v>
      </c>
      <c r="F49" s="15">
        <v>1562.80957</v>
      </c>
      <c r="G49" s="15">
        <v>5420536.0</v>
      </c>
      <c r="H49" s="19">
        <f t="shared" si="1"/>
        <v>0.002607275428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>
        <v>44414.0</v>
      </c>
      <c r="B50" s="15">
        <v>1657.0</v>
      </c>
      <c r="C50" s="15">
        <v>1660.650024</v>
      </c>
      <c r="D50" s="15">
        <v>1644.0</v>
      </c>
      <c r="E50" s="15">
        <v>1650.199951</v>
      </c>
      <c r="F50" s="15">
        <v>1559.643433</v>
      </c>
      <c r="G50" s="15">
        <v>3754855.0</v>
      </c>
      <c r="H50" s="19">
        <f t="shared" si="1"/>
        <v>-0.002026003387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>
        <v>44417.0</v>
      </c>
      <c r="B51" s="15">
        <v>1661.0</v>
      </c>
      <c r="C51" s="15">
        <v>1667.449951</v>
      </c>
      <c r="D51" s="15">
        <v>1646.400024</v>
      </c>
      <c r="E51" s="15">
        <v>1663.300049</v>
      </c>
      <c r="F51" s="15">
        <v>1572.024536</v>
      </c>
      <c r="G51" s="15">
        <v>5018477.0</v>
      </c>
      <c r="H51" s="19">
        <f t="shared" si="1"/>
        <v>0.007938491328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>
        <v>44418.0</v>
      </c>
      <c r="B52" s="15">
        <v>1668.0</v>
      </c>
      <c r="C52" s="15">
        <v>1680.0</v>
      </c>
      <c r="D52" s="15">
        <v>1661.050049</v>
      </c>
      <c r="E52" s="15">
        <v>1677.25</v>
      </c>
      <c r="F52" s="15">
        <v>1585.209106</v>
      </c>
      <c r="G52" s="15">
        <v>6846517.0</v>
      </c>
      <c r="H52" s="19">
        <f t="shared" si="1"/>
        <v>0.008386911915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>
        <v>44419.0</v>
      </c>
      <c r="B53" s="15">
        <v>1674.800049</v>
      </c>
      <c r="C53" s="15">
        <v>1684.0</v>
      </c>
      <c r="D53" s="15">
        <v>1668.0</v>
      </c>
      <c r="E53" s="15">
        <v>1677.550049</v>
      </c>
      <c r="F53" s="15">
        <v>1585.492554</v>
      </c>
      <c r="G53" s="15">
        <v>4899639.0</v>
      </c>
      <c r="H53" s="19">
        <f t="shared" si="1"/>
        <v>0.0001788934267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>
        <v>44420.0</v>
      </c>
      <c r="B54" s="15">
        <v>1679.150024</v>
      </c>
      <c r="C54" s="15">
        <v>1696.5</v>
      </c>
      <c r="D54" s="15">
        <v>1674.0</v>
      </c>
      <c r="E54" s="15">
        <v>1689.599976</v>
      </c>
      <c r="F54" s="15">
        <v>1596.881226</v>
      </c>
      <c r="G54" s="15">
        <v>5659579.0</v>
      </c>
      <c r="H54" s="19">
        <f t="shared" si="1"/>
        <v>0.007183050668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>
        <v>44421.0</v>
      </c>
      <c r="B55" s="15">
        <v>1697.0</v>
      </c>
      <c r="C55" s="15">
        <v>1722.5</v>
      </c>
      <c r="D55" s="15">
        <v>1691.300049</v>
      </c>
      <c r="E55" s="15">
        <v>1712.199951</v>
      </c>
      <c r="F55" s="15">
        <v>1618.241089</v>
      </c>
      <c r="G55" s="15">
        <v>5612790.0</v>
      </c>
      <c r="H55" s="19">
        <f t="shared" si="1"/>
        <v>0.01337593236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>
        <v>44424.0</v>
      </c>
      <c r="B56" s="15">
        <v>1707.699951</v>
      </c>
      <c r="C56" s="15">
        <v>1719.949951</v>
      </c>
      <c r="D56" s="15">
        <v>1690.099976</v>
      </c>
      <c r="E56" s="15">
        <v>1704.400024</v>
      </c>
      <c r="F56" s="15">
        <v>1610.869263</v>
      </c>
      <c r="G56" s="15">
        <v>4564109.0</v>
      </c>
      <c r="H56" s="19">
        <f t="shared" si="1"/>
        <v>-0.004555500072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>
        <v>44425.0</v>
      </c>
      <c r="B57" s="15">
        <v>1703.900024</v>
      </c>
      <c r="C57" s="15">
        <v>1748.900024</v>
      </c>
      <c r="D57" s="15">
        <v>1686.550049</v>
      </c>
      <c r="E57" s="15">
        <v>1741.650024</v>
      </c>
      <c r="F57" s="15">
        <v>1646.075073</v>
      </c>
      <c r="G57" s="15">
        <v>9510390.0</v>
      </c>
      <c r="H57" s="19">
        <f t="shared" si="1"/>
        <v>0.021855198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>
        <v>44426.0</v>
      </c>
      <c r="B58" s="15">
        <v>1729.0</v>
      </c>
      <c r="C58" s="15">
        <v>1755.5</v>
      </c>
      <c r="D58" s="15">
        <v>1727.0</v>
      </c>
      <c r="E58" s="15">
        <v>1733.449951</v>
      </c>
      <c r="F58" s="15">
        <v>1638.325073</v>
      </c>
      <c r="G58" s="15">
        <v>6686090.0</v>
      </c>
      <c r="H58" s="19">
        <f t="shared" si="1"/>
        <v>-0.004708220875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>
        <v>44428.0</v>
      </c>
      <c r="B59" s="15">
        <v>1716.099976</v>
      </c>
      <c r="C59" s="15">
        <v>1745.0</v>
      </c>
      <c r="D59" s="15">
        <v>1716.099976</v>
      </c>
      <c r="E59" s="15">
        <v>1732.949951</v>
      </c>
      <c r="F59" s="15">
        <v>1637.852295</v>
      </c>
      <c r="G59" s="15">
        <v>6206972.0</v>
      </c>
      <c r="H59" s="19">
        <f t="shared" si="1"/>
        <v>-0.0002884421322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>
        <v>44431.0</v>
      </c>
      <c r="B60" s="15">
        <v>1735.75</v>
      </c>
      <c r="C60" s="15">
        <v>1753.150024</v>
      </c>
      <c r="D60" s="15">
        <v>1732.0</v>
      </c>
      <c r="E60" s="15">
        <v>1738.75</v>
      </c>
      <c r="F60" s="15">
        <v>1643.334106</v>
      </c>
      <c r="G60" s="15">
        <v>6189051.0</v>
      </c>
      <c r="H60" s="19">
        <f t="shared" si="1"/>
        <v>0.003346922395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>
        <v>44432.0</v>
      </c>
      <c r="B61" s="15">
        <v>1750.0</v>
      </c>
      <c r="C61" s="15">
        <v>1757.0</v>
      </c>
      <c r="D61" s="15">
        <v>1712.699951</v>
      </c>
      <c r="E61" s="15">
        <v>1720.849976</v>
      </c>
      <c r="F61" s="15">
        <v>1626.416382</v>
      </c>
      <c r="G61" s="15">
        <v>7602939.0</v>
      </c>
      <c r="H61" s="19">
        <f t="shared" si="1"/>
        <v>-0.01029476578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>
        <v>44433.0</v>
      </c>
      <c r="B62" s="15">
        <v>1718.0</v>
      </c>
      <c r="C62" s="15">
        <v>1746.900024</v>
      </c>
      <c r="D62" s="15">
        <v>1718.0</v>
      </c>
      <c r="E62" s="15">
        <v>1735.550049</v>
      </c>
      <c r="F62" s="15">
        <v>1640.309814</v>
      </c>
      <c r="G62" s="15">
        <v>6153253.0</v>
      </c>
      <c r="H62" s="19">
        <f t="shared" si="1"/>
        <v>0.008542332687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>
        <v>44434.0</v>
      </c>
      <c r="B63" s="15">
        <v>1734.0</v>
      </c>
      <c r="C63" s="15">
        <v>1746.0</v>
      </c>
      <c r="D63" s="15">
        <v>1720.0</v>
      </c>
      <c r="E63" s="15">
        <v>1727.699951</v>
      </c>
      <c r="F63" s="15">
        <v>1632.890503</v>
      </c>
      <c r="G63" s="15">
        <v>5302248.0</v>
      </c>
      <c r="H63" s="19">
        <f t="shared" si="1"/>
        <v>-0.004523118192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>
        <v>44435.0</v>
      </c>
      <c r="B64" s="15">
        <v>1725.0</v>
      </c>
      <c r="C64" s="15">
        <v>1727.699951</v>
      </c>
      <c r="D64" s="15">
        <v>1705.199951</v>
      </c>
      <c r="E64" s="15">
        <v>1708.800049</v>
      </c>
      <c r="F64" s="15">
        <v>1615.02771</v>
      </c>
      <c r="G64" s="15">
        <v>6698514.0</v>
      </c>
      <c r="H64" s="19">
        <f t="shared" si="1"/>
        <v>-0.01093934279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>
        <v>44438.0</v>
      </c>
      <c r="B65" s="15">
        <v>1703.050049</v>
      </c>
      <c r="C65" s="15">
        <v>1718.650024</v>
      </c>
      <c r="D65" s="15">
        <v>1690.400024</v>
      </c>
      <c r="E65" s="15">
        <v>1698.050049</v>
      </c>
      <c r="F65" s="15">
        <v>1604.867798</v>
      </c>
      <c r="G65" s="15">
        <v>6559667.0</v>
      </c>
      <c r="H65" s="19">
        <f t="shared" si="1"/>
        <v>-0.006290964239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>
        <v>44439.0</v>
      </c>
      <c r="B66" s="15">
        <v>1700.150024</v>
      </c>
      <c r="C66" s="15">
        <v>1715.0</v>
      </c>
      <c r="D66" s="15">
        <v>1685.849976</v>
      </c>
      <c r="E66" s="15">
        <v>1706.449951</v>
      </c>
      <c r="F66" s="15">
        <v>1612.806641</v>
      </c>
      <c r="G66" s="15">
        <v>1.2255438E7</v>
      </c>
      <c r="H66" s="19">
        <f t="shared" si="1"/>
        <v>0.004946792943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>
        <v>44440.0</v>
      </c>
      <c r="B67" s="15">
        <v>1709.5</v>
      </c>
      <c r="C67" s="15">
        <v>1709.5</v>
      </c>
      <c r="D67" s="15">
        <v>1673.150024</v>
      </c>
      <c r="E67" s="15">
        <v>1677.75</v>
      </c>
      <c r="F67" s="15">
        <v>1585.681519</v>
      </c>
      <c r="G67" s="15">
        <v>7801974.0</v>
      </c>
      <c r="H67" s="19">
        <f t="shared" si="1"/>
        <v>-0.01681851318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>
        <v>44441.0</v>
      </c>
      <c r="B68" s="15">
        <v>1677.349976</v>
      </c>
      <c r="C68" s="15">
        <v>1694.300049</v>
      </c>
      <c r="D68" s="15">
        <v>1662.650024</v>
      </c>
      <c r="E68" s="15">
        <v>1689.099976</v>
      </c>
      <c r="F68" s="15">
        <v>1596.408936</v>
      </c>
      <c r="G68" s="15">
        <v>6830050.0</v>
      </c>
      <c r="H68" s="19">
        <f t="shared" si="1"/>
        <v>0.006764998361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>
        <v>44442.0</v>
      </c>
      <c r="B69" s="15">
        <v>1696.050049</v>
      </c>
      <c r="C69" s="15">
        <v>1705.949951</v>
      </c>
      <c r="D69" s="15">
        <v>1684.400024</v>
      </c>
      <c r="E69" s="15">
        <v>1700.650024</v>
      </c>
      <c r="F69" s="15">
        <v>1607.324951</v>
      </c>
      <c r="G69" s="15">
        <v>5339139.0</v>
      </c>
      <c r="H69" s="19">
        <f t="shared" si="1"/>
        <v>0.006837989559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>
        <v>44445.0</v>
      </c>
      <c r="B70" s="15">
        <v>1705.150024</v>
      </c>
      <c r="C70" s="15">
        <v>1732.0</v>
      </c>
      <c r="D70" s="15">
        <v>1699.349976</v>
      </c>
      <c r="E70" s="15">
        <v>1730.400024</v>
      </c>
      <c r="F70" s="15">
        <v>1635.442261</v>
      </c>
      <c r="G70" s="15">
        <v>4876026.0</v>
      </c>
      <c r="H70" s="19">
        <f t="shared" si="1"/>
        <v>0.01749331113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>
        <v>44446.0</v>
      </c>
      <c r="B71" s="15">
        <v>1730.0</v>
      </c>
      <c r="C71" s="15">
        <v>1734.900024</v>
      </c>
      <c r="D71" s="15">
        <v>1704.0</v>
      </c>
      <c r="E71" s="15">
        <v>1706.650024</v>
      </c>
      <c r="F71" s="15">
        <v>1612.995605</v>
      </c>
      <c r="G71" s="15">
        <v>3520341.0</v>
      </c>
      <c r="H71" s="19">
        <f t="shared" si="1"/>
        <v>-0.01372515006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>
        <v>44447.0</v>
      </c>
      <c r="B72" s="15">
        <v>1700.849976</v>
      </c>
      <c r="C72" s="15">
        <v>1700.849976</v>
      </c>
      <c r="D72" s="15">
        <v>1682.949951</v>
      </c>
      <c r="E72" s="15">
        <v>1693.25</v>
      </c>
      <c r="F72" s="15">
        <v>1600.331055</v>
      </c>
      <c r="G72" s="15">
        <v>4584896.0</v>
      </c>
      <c r="H72" s="19">
        <f t="shared" si="1"/>
        <v>-0.007851653128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>
        <v>44448.0</v>
      </c>
      <c r="B73" s="15">
        <v>1685.900024</v>
      </c>
      <c r="C73" s="15">
        <v>1694.900024</v>
      </c>
      <c r="D73" s="15">
        <v>1682.150024</v>
      </c>
      <c r="E73" s="15">
        <v>1691.599976</v>
      </c>
      <c r="F73" s="15">
        <v>1598.771484</v>
      </c>
      <c r="G73" s="15">
        <v>3331674.0</v>
      </c>
      <c r="H73" s="19">
        <f t="shared" si="1"/>
        <v>-0.0009744715783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>
        <v>44452.0</v>
      </c>
      <c r="B74" s="15">
        <v>1683.0</v>
      </c>
      <c r="C74" s="15">
        <v>1701.5</v>
      </c>
      <c r="D74" s="15">
        <v>1675.199951</v>
      </c>
      <c r="E74" s="15">
        <v>1691.900024</v>
      </c>
      <c r="F74" s="15">
        <v>1599.055176</v>
      </c>
      <c r="G74" s="15">
        <v>4662374.0</v>
      </c>
      <c r="H74" s="19">
        <f t="shared" si="1"/>
        <v>0.0001773752685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>
        <v>44453.0</v>
      </c>
      <c r="B75" s="15">
        <v>1695.949951</v>
      </c>
      <c r="C75" s="15">
        <v>1695.949951</v>
      </c>
      <c r="D75" s="15">
        <v>1678.599976</v>
      </c>
      <c r="E75" s="15">
        <v>1686.150024</v>
      </c>
      <c r="F75" s="15">
        <v>1593.620728</v>
      </c>
      <c r="G75" s="15">
        <v>4945167.0</v>
      </c>
      <c r="H75" s="19">
        <f t="shared" si="1"/>
        <v>-0.003398545965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>
        <v>44454.0</v>
      </c>
      <c r="B76" s="15">
        <v>1693.25</v>
      </c>
      <c r="C76" s="15">
        <v>1715.099976</v>
      </c>
      <c r="D76" s="15">
        <v>1690.199951</v>
      </c>
      <c r="E76" s="15">
        <v>1711.449951</v>
      </c>
      <c r="F76" s="15">
        <v>1617.532227</v>
      </c>
      <c r="G76" s="15">
        <v>4062344.0</v>
      </c>
      <c r="H76" s="19">
        <f t="shared" si="1"/>
        <v>0.01500455276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>
        <v>44455.0</v>
      </c>
      <c r="B77" s="15">
        <v>1715.199951</v>
      </c>
      <c r="C77" s="15">
        <v>1719.25</v>
      </c>
      <c r="D77" s="15">
        <v>1691.449951</v>
      </c>
      <c r="E77" s="15">
        <v>1702.25</v>
      </c>
      <c r="F77" s="15">
        <v>1608.837036</v>
      </c>
      <c r="G77" s="15">
        <v>3246568.0</v>
      </c>
      <c r="H77" s="19">
        <f t="shared" si="1"/>
        <v>-0.00537553026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>
        <v>44456.0</v>
      </c>
      <c r="B78" s="15">
        <v>1697.0</v>
      </c>
      <c r="C78" s="15">
        <v>1718.0</v>
      </c>
      <c r="D78" s="15">
        <v>1684.449951</v>
      </c>
      <c r="E78" s="15">
        <v>1691.300049</v>
      </c>
      <c r="F78" s="15">
        <v>1598.488159</v>
      </c>
      <c r="G78" s="15">
        <v>7454864.0</v>
      </c>
      <c r="H78" s="19">
        <f t="shared" si="1"/>
        <v>-0.006432633867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>
        <v>44459.0</v>
      </c>
      <c r="B79" s="15">
        <v>1685.0</v>
      </c>
      <c r="C79" s="15">
        <v>1707.699951</v>
      </c>
      <c r="D79" s="15">
        <v>1677.949951</v>
      </c>
      <c r="E79" s="15">
        <v>1687.849976</v>
      </c>
      <c r="F79" s="15">
        <v>1595.227295</v>
      </c>
      <c r="G79" s="15">
        <v>5660743.0</v>
      </c>
      <c r="H79" s="19">
        <f t="shared" si="1"/>
        <v>-0.002039894105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>
        <v>44460.0</v>
      </c>
      <c r="B80" s="15">
        <v>1700.0</v>
      </c>
      <c r="C80" s="15">
        <v>1726.75</v>
      </c>
      <c r="D80" s="15">
        <v>1684.650024</v>
      </c>
      <c r="E80" s="15">
        <v>1718.449951</v>
      </c>
      <c r="F80" s="15">
        <v>1624.148193</v>
      </c>
      <c r="G80" s="15">
        <v>4672222.0</v>
      </c>
      <c r="H80" s="19">
        <f t="shared" si="1"/>
        <v>0.01812955857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8">
        <v>44461.0</v>
      </c>
      <c r="B81" s="15">
        <v>1717.0</v>
      </c>
      <c r="C81" s="15">
        <v>1738.900024</v>
      </c>
      <c r="D81" s="15">
        <v>1713.050049</v>
      </c>
      <c r="E81" s="15">
        <v>1716.900024</v>
      </c>
      <c r="F81" s="15">
        <v>1622.683228</v>
      </c>
      <c r="G81" s="15">
        <v>4553892.0</v>
      </c>
      <c r="H81" s="19">
        <f t="shared" si="1"/>
        <v>-0.0009019331631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8">
        <v>44462.0</v>
      </c>
      <c r="B82" s="15">
        <v>1732.0</v>
      </c>
      <c r="C82" s="15">
        <v>1745.0</v>
      </c>
      <c r="D82" s="15">
        <v>1721.099976</v>
      </c>
      <c r="E82" s="15">
        <v>1742.550049</v>
      </c>
      <c r="F82" s="15">
        <v>1646.925659</v>
      </c>
      <c r="G82" s="15">
        <v>3826090.0</v>
      </c>
      <c r="H82" s="19">
        <f t="shared" si="1"/>
        <v>0.01493973128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8">
        <v>44463.0</v>
      </c>
      <c r="B83" s="15">
        <v>1758.0</v>
      </c>
      <c r="C83" s="15">
        <v>1788.0</v>
      </c>
      <c r="D83" s="15">
        <v>1752.449951</v>
      </c>
      <c r="E83" s="15">
        <v>1763.849976</v>
      </c>
      <c r="F83" s="15">
        <v>1667.056763</v>
      </c>
      <c r="G83" s="15">
        <v>8280446.0</v>
      </c>
      <c r="H83" s="19">
        <f t="shared" si="1"/>
        <v>0.01222342337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8">
        <v>44466.0</v>
      </c>
      <c r="B84" s="15">
        <v>1768.75</v>
      </c>
      <c r="C84" s="15">
        <v>1769.0</v>
      </c>
      <c r="D84" s="15">
        <v>1718.099976</v>
      </c>
      <c r="E84" s="15">
        <v>1721.150024</v>
      </c>
      <c r="F84" s="15">
        <v>1626.699951</v>
      </c>
      <c r="G84" s="15">
        <v>5045337.0</v>
      </c>
      <c r="H84" s="19">
        <f t="shared" si="1"/>
        <v>-0.02420838086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8">
        <v>44467.0</v>
      </c>
      <c r="B85" s="15">
        <v>1710.0</v>
      </c>
      <c r="C85" s="15">
        <v>1710.0</v>
      </c>
      <c r="D85" s="15">
        <v>1675.0</v>
      </c>
      <c r="E85" s="15">
        <v>1687.099976</v>
      </c>
      <c r="F85" s="15">
        <v>1594.518433</v>
      </c>
      <c r="G85" s="15">
        <v>6557197.0</v>
      </c>
      <c r="H85" s="19">
        <f t="shared" si="1"/>
        <v>-0.01978331204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8">
        <v>44468.0</v>
      </c>
      <c r="B86" s="15">
        <v>1659.25</v>
      </c>
      <c r="C86" s="15">
        <v>1701.400024</v>
      </c>
      <c r="D86" s="15">
        <v>1655.0</v>
      </c>
      <c r="E86" s="15">
        <v>1692.25</v>
      </c>
      <c r="F86" s="15">
        <v>1599.385864</v>
      </c>
      <c r="G86" s="15">
        <v>7792548.0</v>
      </c>
      <c r="H86" s="19">
        <f t="shared" si="1"/>
        <v>0.003052589694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8">
        <v>44469.0</v>
      </c>
      <c r="B87" s="15">
        <v>1703.0</v>
      </c>
      <c r="C87" s="15">
        <v>1703.0</v>
      </c>
      <c r="D87" s="15">
        <v>1670.099976</v>
      </c>
      <c r="E87" s="15">
        <v>1675.199951</v>
      </c>
      <c r="F87" s="15">
        <v>1583.271362</v>
      </c>
      <c r="G87" s="15">
        <v>6914031.0</v>
      </c>
      <c r="H87" s="19">
        <f t="shared" si="1"/>
        <v>-0.01007537243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>
        <v>44470.0</v>
      </c>
      <c r="B88" s="15">
        <v>1665.099976</v>
      </c>
      <c r="C88" s="15">
        <v>1678.949951</v>
      </c>
      <c r="D88" s="15">
        <v>1661.25</v>
      </c>
      <c r="E88" s="15">
        <v>1665.150024</v>
      </c>
      <c r="F88" s="15">
        <v>1573.773071</v>
      </c>
      <c r="G88" s="15">
        <v>5733906.0</v>
      </c>
      <c r="H88" s="19">
        <f t="shared" si="1"/>
        <v>-0.005999240266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8">
        <v>44473.0</v>
      </c>
      <c r="B89" s="15">
        <v>1672.5</v>
      </c>
      <c r="C89" s="15">
        <v>1688.0</v>
      </c>
      <c r="D89" s="15">
        <v>1665.400024</v>
      </c>
      <c r="E89" s="15">
        <v>1678.75</v>
      </c>
      <c r="F89" s="15">
        <v>1586.626709</v>
      </c>
      <c r="G89" s="15">
        <v>2947154.0</v>
      </c>
      <c r="H89" s="19">
        <f t="shared" si="1"/>
        <v>0.008167417833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8">
        <v>44474.0</v>
      </c>
      <c r="B90" s="15">
        <v>1671.0</v>
      </c>
      <c r="C90" s="15">
        <v>1702.949951</v>
      </c>
      <c r="D90" s="15">
        <v>1663.0</v>
      </c>
      <c r="E90" s="15">
        <v>1692.800049</v>
      </c>
      <c r="F90" s="15">
        <v>1599.905884</v>
      </c>
      <c r="G90" s="15">
        <v>4373310.0</v>
      </c>
      <c r="H90" s="19">
        <f t="shared" si="1"/>
        <v>0.008369351601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8">
        <v>44475.0</v>
      </c>
      <c r="B91" s="15">
        <v>1702.099976</v>
      </c>
      <c r="C91" s="15">
        <v>1709.0</v>
      </c>
      <c r="D91" s="15">
        <v>1670.0</v>
      </c>
      <c r="E91" s="15">
        <v>1673.550049</v>
      </c>
      <c r="F91" s="15">
        <v>1581.712158</v>
      </c>
      <c r="G91" s="15">
        <v>4271698.0</v>
      </c>
      <c r="H91" s="19">
        <f t="shared" si="1"/>
        <v>-0.01137169154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8">
        <v>44476.0</v>
      </c>
      <c r="B92" s="15">
        <v>1687.0</v>
      </c>
      <c r="C92" s="15">
        <v>1704.199951</v>
      </c>
      <c r="D92" s="15">
        <v>1676.650024</v>
      </c>
      <c r="E92" s="15">
        <v>1691.0</v>
      </c>
      <c r="F92" s="15">
        <v>1598.204468</v>
      </c>
      <c r="G92" s="15">
        <v>5476108.0</v>
      </c>
      <c r="H92" s="19">
        <f t="shared" si="1"/>
        <v>0.01042690717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8">
        <v>44477.0</v>
      </c>
      <c r="B93" s="15">
        <v>1705.25</v>
      </c>
      <c r="C93" s="15">
        <v>1731.5</v>
      </c>
      <c r="D93" s="15">
        <v>1698.400024</v>
      </c>
      <c r="E93" s="15">
        <v>1723.849976</v>
      </c>
      <c r="F93" s="15">
        <v>1629.251709</v>
      </c>
      <c r="G93" s="15">
        <v>4738376.0</v>
      </c>
      <c r="H93" s="19">
        <f t="shared" si="1"/>
        <v>0.01942636073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8">
        <v>44480.0</v>
      </c>
      <c r="B94" s="15">
        <v>1682.0</v>
      </c>
      <c r="C94" s="15">
        <v>1730.0</v>
      </c>
      <c r="D94" s="15">
        <v>1663.699951</v>
      </c>
      <c r="E94" s="15">
        <v>1690.949951</v>
      </c>
      <c r="F94" s="15">
        <v>1598.157349</v>
      </c>
      <c r="G94" s="15">
        <v>8840633.0</v>
      </c>
      <c r="H94" s="19">
        <f t="shared" si="1"/>
        <v>-0.01908520199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>
        <v>44481.0</v>
      </c>
      <c r="B95" s="15">
        <v>1677.0</v>
      </c>
      <c r="C95" s="15">
        <v>1689.0</v>
      </c>
      <c r="D95" s="15">
        <v>1662.0</v>
      </c>
      <c r="E95" s="15">
        <v>1685.150024</v>
      </c>
      <c r="F95" s="15">
        <v>1592.675537</v>
      </c>
      <c r="G95" s="15">
        <v>7439300.0</v>
      </c>
      <c r="H95" s="19">
        <f t="shared" si="1"/>
        <v>-0.003429981471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>
        <v>44482.0</v>
      </c>
      <c r="B96" s="15">
        <v>1695.949951</v>
      </c>
      <c r="C96" s="15">
        <v>1713.650024</v>
      </c>
      <c r="D96" s="15">
        <v>1680.050049</v>
      </c>
      <c r="E96" s="15">
        <v>1709.199951</v>
      </c>
      <c r="F96" s="15">
        <v>1615.405762</v>
      </c>
      <c r="G96" s="15">
        <v>7104171.0</v>
      </c>
      <c r="H96" s="19">
        <f t="shared" si="1"/>
        <v>0.01427168303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>
        <v>44483.0</v>
      </c>
      <c r="B97" s="15">
        <v>1754.0</v>
      </c>
      <c r="C97" s="15">
        <v>1783.599976</v>
      </c>
      <c r="D97" s="15">
        <v>1698.199951</v>
      </c>
      <c r="E97" s="15">
        <v>1715.75</v>
      </c>
      <c r="F97" s="15">
        <v>1621.596191</v>
      </c>
      <c r="G97" s="15">
        <v>1.9655776E7</v>
      </c>
      <c r="H97" s="19">
        <f t="shared" si="1"/>
        <v>0.003832230978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>
        <v>44487.0</v>
      </c>
      <c r="B98" s="15">
        <v>1740.0</v>
      </c>
      <c r="C98" s="15">
        <v>1799.0</v>
      </c>
      <c r="D98" s="15">
        <v>1740.0</v>
      </c>
      <c r="E98" s="15">
        <v>1792.150024</v>
      </c>
      <c r="F98" s="15">
        <v>1693.803833</v>
      </c>
      <c r="G98" s="15">
        <v>1.3438109E7</v>
      </c>
      <c r="H98" s="19">
        <f t="shared" si="1"/>
        <v>0.04452864578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>
        <v>44488.0</v>
      </c>
      <c r="B99" s="15">
        <v>1814.0</v>
      </c>
      <c r="C99" s="15">
        <v>1834.5</v>
      </c>
      <c r="D99" s="15">
        <v>1782.300049</v>
      </c>
      <c r="E99" s="15">
        <v>1822.150024</v>
      </c>
      <c r="F99" s="15">
        <v>1722.157471</v>
      </c>
      <c r="G99" s="15">
        <v>1.032426E7</v>
      </c>
      <c r="H99" s="19">
        <f t="shared" si="1"/>
        <v>0.01673967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>
        <v>44489.0</v>
      </c>
      <c r="B100" s="15">
        <v>1829.400024</v>
      </c>
      <c r="C100" s="15">
        <v>1848.0</v>
      </c>
      <c r="D100" s="15">
        <v>1794.050049</v>
      </c>
      <c r="E100" s="15">
        <v>1802.349976</v>
      </c>
      <c r="F100" s="15">
        <v>1703.444092</v>
      </c>
      <c r="G100" s="15">
        <v>5876115.0</v>
      </c>
      <c r="H100" s="19">
        <f t="shared" si="1"/>
        <v>-0.01086631053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>
        <v>44490.0</v>
      </c>
      <c r="B101" s="15">
        <v>1814.0</v>
      </c>
      <c r="C101" s="15">
        <v>1814.0</v>
      </c>
      <c r="D101" s="15">
        <v>1746.849976</v>
      </c>
      <c r="E101" s="15">
        <v>1753.650024</v>
      </c>
      <c r="F101" s="15">
        <v>1657.416504</v>
      </c>
      <c r="G101" s="15">
        <v>8779629.0</v>
      </c>
      <c r="H101" s="19">
        <f t="shared" si="1"/>
        <v>-0.02702025281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>
        <v>44491.0</v>
      </c>
      <c r="B102" s="15">
        <v>1749.900024</v>
      </c>
      <c r="C102" s="15">
        <v>1763.199951</v>
      </c>
      <c r="D102" s="15">
        <v>1707.0</v>
      </c>
      <c r="E102" s="15">
        <v>1719.800049</v>
      </c>
      <c r="F102" s="15">
        <v>1625.424072</v>
      </c>
      <c r="G102" s="15">
        <v>7369809.0</v>
      </c>
      <c r="H102" s="19">
        <f t="shared" si="1"/>
        <v>-0.01930258292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>
        <v>44494.0</v>
      </c>
      <c r="B103" s="15">
        <v>1722.050049</v>
      </c>
      <c r="C103" s="15">
        <v>1729.75</v>
      </c>
      <c r="D103" s="15">
        <v>1687.199951</v>
      </c>
      <c r="E103" s="15">
        <v>1707.550049</v>
      </c>
      <c r="F103" s="15">
        <v>1613.846313</v>
      </c>
      <c r="G103" s="15">
        <v>5905209.0</v>
      </c>
      <c r="H103" s="19">
        <f t="shared" si="1"/>
        <v>-0.007122921067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>
        <v>44495.0</v>
      </c>
      <c r="B104" s="15">
        <v>1710.050049</v>
      </c>
      <c r="C104" s="15">
        <v>1726.599976</v>
      </c>
      <c r="D104" s="15">
        <v>1695.900024</v>
      </c>
      <c r="E104" s="15">
        <v>1703.699951</v>
      </c>
      <c r="F104" s="15">
        <v>1624.477783</v>
      </c>
      <c r="G104" s="15">
        <v>5871709.0</v>
      </c>
      <c r="H104" s="19">
        <f t="shared" si="1"/>
        <v>-0.002254749723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>
        <v>44496.0</v>
      </c>
      <c r="B105" s="15">
        <v>1709.099976</v>
      </c>
      <c r="C105" s="15">
        <v>1734.150024</v>
      </c>
      <c r="D105" s="15">
        <v>1701.150024</v>
      </c>
      <c r="E105" s="15">
        <v>1728.949951</v>
      </c>
      <c r="F105" s="15">
        <v>1648.553711</v>
      </c>
      <c r="G105" s="15">
        <v>5090259.0</v>
      </c>
      <c r="H105" s="19">
        <f t="shared" si="1"/>
        <v>0.01482068482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>
        <v>44497.0</v>
      </c>
      <c r="B106" s="15">
        <v>1719.349976</v>
      </c>
      <c r="C106" s="15">
        <v>1724.75</v>
      </c>
      <c r="D106" s="15">
        <v>1692.050049</v>
      </c>
      <c r="E106" s="15">
        <v>1703.900024</v>
      </c>
      <c r="F106" s="15">
        <v>1624.668579</v>
      </c>
      <c r="G106" s="15">
        <v>5329972.0</v>
      </c>
      <c r="H106" s="19">
        <f t="shared" si="1"/>
        <v>-0.01448852061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>
        <v>44498.0</v>
      </c>
      <c r="B107" s="15">
        <v>1699.0</v>
      </c>
      <c r="C107" s="15">
        <v>1712.599976</v>
      </c>
      <c r="D107" s="15">
        <v>1661.050049</v>
      </c>
      <c r="E107" s="15">
        <v>1667.75</v>
      </c>
      <c r="F107" s="15">
        <v>1590.199463</v>
      </c>
      <c r="G107" s="15">
        <v>5875091.0</v>
      </c>
      <c r="H107" s="19">
        <f t="shared" si="1"/>
        <v>-0.02121604759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>
        <v>44501.0</v>
      </c>
      <c r="B108" s="15">
        <v>1677.5</v>
      </c>
      <c r="C108" s="15">
        <v>1707.199951</v>
      </c>
      <c r="D108" s="15">
        <v>1676.0</v>
      </c>
      <c r="E108" s="15">
        <v>1700.050049</v>
      </c>
      <c r="F108" s="15">
        <v>1620.997681</v>
      </c>
      <c r="G108" s="15">
        <v>3636806.0</v>
      </c>
      <c r="H108" s="19">
        <f t="shared" si="1"/>
        <v>0.01936744056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>
        <v>44502.0</v>
      </c>
      <c r="B109" s="15">
        <v>1695.0</v>
      </c>
      <c r="C109" s="15">
        <v>1706.449951</v>
      </c>
      <c r="D109" s="15">
        <v>1686.349976</v>
      </c>
      <c r="E109" s="15">
        <v>1697.900024</v>
      </c>
      <c r="F109" s="15">
        <v>1618.94751</v>
      </c>
      <c r="G109" s="15">
        <v>3471772.0</v>
      </c>
      <c r="H109" s="19">
        <f t="shared" si="1"/>
        <v>-0.001264683355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>
        <v>44503.0</v>
      </c>
      <c r="B110" s="15">
        <v>1709.0</v>
      </c>
      <c r="C110" s="15">
        <v>1717.449951</v>
      </c>
      <c r="D110" s="15">
        <v>1699.0</v>
      </c>
      <c r="E110" s="15">
        <v>1702.5</v>
      </c>
      <c r="F110" s="15">
        <v>1623.33374</v>
      </c>
      <c r="G110" s="15">
        <v>3530713.0</v>
      </c>
      <c r="H110" s="19">
        <f t="shared" si="1"/>
        <v>0.002709214874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>
        <v>44504.0</v>
      </c>
      <c r="B111" s="15">
        <v>1715.0</v>
      </c>
      <c r="C111" s="15">
        <v>1717.0</v>
      </c>
      <c r="D111" s="15">
        <v>1705.0</v>
      </c>
      <c r="E111" s="15">
        <v>1708.699951</v>
      </c>
      <c r="F111" s="15">
        <v>1629.245361</v>
      </c>
      <c r="G111" s="15">
        <v>483407.0</v>
      </c>
      <c r="H111" s="19">
        <f t="shared" si="1"/>
        <v>0.003641674596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>
        <v>44508.0</v>
      </c>
      <c r="B112" s="15">
        <v>1730.0</v>
      </c>
      <c r="C112" s="15">
        <v>1741.0</v>
      </c>
      <c r="D112" s="15">
        <v>1703.0</v>
      </c>
      <c r="E112" s="15">
        <v>1737.5</v>
      </c>
      <c r="F112" s="15">
        <v>1656.706055</v>
      </c>
      <c r="G112" s="15">
        <v>5245903.0</v>
      </c>
      <c r="H112" s="19">
        <f t="shared" si="1"/>
        <v>0.0168549481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>
        <v>44509.0</v>
      </c>
      <c r="B113" s="15">
        <v>1734.75</v>
      </c>
      <c r="C113" s="15">
        <v>1750.0</v>
      </c>
      <c r="D113" s="15">
        <v>1726.0</v>
      </c>
      <c r="E113" s="15">
        <v>1742.5</v>
      </c>
      <c r="F113" s="15">
        <v>1661.473633</v>
      </c>
      <c r="G113" s="15">
        <v>4016134.0</v>
      </c>
      <c r="H113" s="19">
        <f t="shared" si="1"/>
        <v>0.002877697842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>
        <v>44510.0</v>
      </c>
      <c r="B114" s="15">
        <v>1726.0</v>
      </c>
      <c r="C114" s="15">
        <v>1750.949951</v>
      </c>
      <c r="D114" s="15">
        <v>1721.949951</v>
      </c>
      <c r="E114" s="15">
        <v>1740.150024</v>
      </c>
      <c r="F114" s="15">
        <v>1659.23291</v>
      </c>
      <c r="G114" s="15">
        <v>4780368.0</v>
      </c>
      <c r="H114" s="19">
        <f t="shared" si="1"/>
        <v>-0.001348623242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>
        <v>44511.0</v>
      </c>
      <c r="B115" s="15">
        <v>1732.949951</v>
      </c>
      <c r="C115" s="15">
        <v>1739.75</v>
      </c>
      <c r="D115" s="15">
        <v>1709.0</v>
      </c>
      <c r="E115" s="15">
        <v>1733.300049</v>
      </c>
      <c r="F115" s="15">
        <v>1652.701538</v>
      </c>
      <c r="G115" s="15">
        <v>4731349.0</v>
      </c>
      <c r="H115" s="19">
        <f t="shared" si="1"/>
        <v>-0.00393642784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>
        <v>44512.0</v>
      </c>
      <c r="B116" s="15">
        <v>1743.0</v>
      </c>
      <c r="C116" s="15">
        <v>1782.849976</v>
      </c>
      <c r="D116" s="15">
        <v>1738.050049</v>
      </c>
      <c r="E116" s="15">
        <v>1780.199951</v>
      </c>
      <c r="F116" s="15">
        <v>1697.420532</v>
      </c>
      <c r="G116" s="15">
        <v>5069009.0</v>
      </c>
      <c r="H116" s="19">
        <f t="shared" si="1"/>
        <v>0.02705815535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>
        <v>44515.0</v>
      </c>
      <c r="B117" s="15">
        <v>1782.099976</v>
      </c>
      <c r="C117" s="15">
        <v>1800.0</v>
      </c>
      <c r="D117" s="15">
        <v>1775.5</v>
      </c>
      <c r="E117" s="15">
        <v>1787.150024</v>
      </c>
      <c r="F117" s="15">
        <v>1704.047485</v>
      </c>
      <c r="G117" s="15">
        <v>4354074.0</v>
      </c>
      <c r="H117" s="19">
        <f t="shared" si="1"/>
        <v>0.003904096838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>
        <v>44516.0</v>
      </c>
      <c r="B118" s="15">
        <v>1790.0</v>
      </c>
      <c r="C118" s="15">
        <v>1808.949951</v>
      </c>
      <c r="D118" s="15">
        <v>1777.0</v>
      </c>
      <c r="E118" s="15">
        <v>1792.300049</v>
      </c>
      <c r="F118" s="15">
        <v>1708.958008</v>
      </c>
      <c r="G118" s="15">
        <v>6034233.0</v>
      </c>
      <c r="H118" s="19">
        <f t="shared" si="1"/>
        <v>0.002881697077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>
        <v>44517.0</v>
      </c>
      <c r="B119" s="15">
        <v>1792.550049</v>
      </c>
      <c r="C119" s="15">
        <v>1802.0</v>
      </c>
      <c r="D119" s="15">
        <v>1780.699951</v>
      </c>
      <c r="E119" s="15">
        <v>1787.449951</v>
      </c>
      <c r="F119" s="15">
        <v>1704.333374</v>
      </c>
      <c r="G119" s="15">
        <v>4732492.0</v>
      </c>
      <c r="H119" s="19">
        <f t="shared" si="1"/>
        <v>-0.002706074802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>
        <v>44518.0</v>
      </c>
      <c r="B120" s="15">
        <v>1781.599976</v>
      </c>
      <c r="C120" s="15">
        <v>1789.449951</v>
      </c>
      <c r="D120" s="15">
        <v>1759.0</v>
      </c>
      <c r="E120" s="15">
        <v>1779.400024</v>
      </c>
      <c r="F120" s="15">
        <v>1696.657837</v>
      </c>
      <c r="G120" s="15">
        <v>4326924.0</v>
      </c>
      <c r="H120" s="19">
        <f t="shared" si="1"/>
        <v>-0.004503581762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>
        <v>44522.0</v>
      </c>
      <c r="B121" s="15">
        <v>1784.0</v>
      </c>
      <c r="C121" s="15">
        <v>1785.400024</v>
      </c>
      <c r="D121" s="15">
        <v>1751.150024</v>
      </c>
      <c r="E121" s="15">
        <v>1759.400024</v>
      </c>
      <c r="F121" s="15">
        <v>1677.587891</v>
      </c>
      <c r="G121" s="15">
        <v>6621839.0</v>
      </c>
      <c r="H121" s="19">
        <f t="shared" si="1"/>
        <v>-0.01123974358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>
        <v>44523.0</v>
      </c>
      <c r="B122" s="15">
        <v>1735.099976</v>
      </c>
      <c r="C122" s="15">
        <v>1747.25</v>
      </c>
      <c r="D122" s="15">
        <v>1710.0</v>
      </c>
      <c r="E122" s="15">
        <v>1736.900024</v>
      </c>
      <c r="F122" s="15">
        <v>1656.134033</v>
      </c>
      <c r="G122" s="15">
        <v>8436160.0</v>
      </c>
      <c r="H122" s="19">
        <f t="shared" si="1"/>
        <v>-0.01278845043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>
        <v>44524.0</v>
      </c>
      <c r="B123" s="15">
        <v>1740.0</v>
      </c>
      <c r="C123" s="15">
        <v>1740.5</v>
      </c>
      <c r="D123" s="15">
        <v>1688.0</v>
      </c>
      <c r="E123" s="15">
        <v>1696.0</v>
      </c>
      <c r="F123" s="15">
        <v>1617.135864</v>
      </c>
      <c r="G123" s="15">
        <v>7333061.0</v>
      </c>
      <c r="H123" s="19">
        <f t="shared" si="1"/>
        <v>-0.02354771342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>
        <v>44525.0</v>
      </c>
      <c r="B124" s="15">
        <v>1700.0</v>
      </c>
      <c r="C124" s="15">
        <v>1726.199951</v>
      </c>
      <c r="D124" s="15">
        <v>1696.949951</v>
      </c>
      <c r="E124" s="15">
        <v>1722.400024</v>
      </c>
      <c r="F124" s="15">
        <v>1642.30835</v>
      </c>
      <c r="G124" s="15">
        <v>4476260.0</v>
      </c>
      <c r="H124" s="19">
        <f t="shared" si="1"/>
        <v>0.01556605189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>
        <v>44526.0</v>
      </c>
      <c r="B125" s="15">
        <v>1702.550049</v>
      </c>
      <c r="C125" s="15">
        <v>1718.349976</v>
      </c>
      <c r="D125" s="15">
        <v>1684.0</v>
      </c>
      <c r="E125" s="15">
        <v>1691.650024</v>
      </c>
      <c r="F125" s="15">
        <v>1612.988281</v>
      </c>
      <c r="G125" s="15">
        <v>4494181.0</v>
      </c>
      <c r="H125" s="19">
        <f t="shared" si="1"/>
        <v>-0.01785299557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>
        <v>44529.0</v>
      </c>
      <c r="B126" s="15">
        <v>1691.0</v>
      </c>
      <c r="C126" s="15">
        <v>1712.0</v>
      </c>
      <c r="D126" s="15">
        <v>1669.150024</v>
      </c>
      <c r="E126" s="15">
        <v>1696.349976</v>
      </c>
      <c r="F126" s="15">
        <v>1617.469727</v>
      </c>
      <c r="G126" s="15">
        <v>3942776.0</v>
      </c>
      <c r="H126" s="19">
        <f t="shared" si="1"/>
        <v>0.002778324082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>
        <v>44530.0</v>
      </c>
      <c r="B127" s="15">
        <v>1704.550049</v>
      </c>
      <c r="C127" s="15">
        <v>1729.900024</v>
      </c>
      <c r="D127" s="15">
        <v>1700.050049</v>
      </c>
      <c r="E127" s="15">
        <v>1712.650024</v>
      </c>
      <c r="F127" s="15">
        <v>1633.011719</v>
      </c>
      <c r="G127" s="15">
        <v>1.4808963E7</v>
      </c>
      <c r="H127" s="19">
        <f t="shared" si="1"/>
        <v>0.009608894527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>
        <v>44531.0</v>
      </c>
      <c r="B128" s="15">
        <v>1715.0</v>
      </c>
      <c r="C128" s="15">
        <v>1741.900024</v>
      </c>
      <c r="D128" s="15">
        <v>1713.0</v>
      </c>
      <c r="E128" s="15">
        <v>1714.900024</v>
      </c>
      <c r="F128" s="15">
        <v>1635.156982</v>
      </c>
      <c r="G128" s="15">
        <v>5193264.0</v>
      </c>
      <c r="H128" s="19">
        <f t="shared" si="1"/>
        <v>0.001313753521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>
        <v>44532.0</v>
      </c>
      <c r="B129" s="15">
        <v>1715.0</v>
      </c>
      <c r="C129" s="15">
        <v>1750.5</v>
      </c>
      <c r="D129" s="15">
        <v>1711.349976</v>
      </c>
      <c r="E129" s="15">
        <v>1748.25</v>
      </c>
      <c r="F129" s="15">
        <v>1666.956299</v>
      </c>
      <c r="G129" s="15">
        <v>5559574.0</v>
      </c>
      <c r="H129" s="19">
        <f t="shared" si="1"/>
        <v>0.01944718382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>
        <v>44533.0</v>
      </c>
      <c r="B130" s="15">
        <v>1771.099976</v>
      </c>
      <c r="C130" s="15">
        <v>1786.650024</v>
      </c>
      <c r="D130" s="15">
        <v>1732.550049</v>
      </c>
      <c r="E130" s="15">
        <v>1735.550049</v>
      </c>
      <c r="F130" s="15">
        <v>1654.846924</v>
      </c>
      <c r="G130" s="15">
        <v>6754012.0</v>
      </c>
      <c r="H130" s="19">
        <f t="shared" si="1"/>
        <v>-0.007264379236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>
        <v>44536.0</v>
      </c>
      <c r="B131" s="15">
        <v>1730.0</v>
      </c>
      <c r="C131" s="15">
        <v>1733.949951</v>
      </c>
      <c r="D131" s="15">
        <v>1691.5</v>
      </c>
      <c r="E131" s="15">
        <v>1695.300049</v>
      </c>
      <c r="F131" s="15">
        <v>1616.468506</v>
      </c>
      <c r="G131" s="15">
        <v>3991449.0</v>
      </c>
      <c r="H131" s="19">
        <f t="shared" si="1"/>
        <v>-0.02319149484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>
        <v>44537.0</v>
      </c>
      <c r="B132" s="15">
        <v>1701.099976</v>
      </c>
      <c r="C132" s="15">
        <v>1724.900024</v>
      </c>
      <c r="D132" s="15">
        <v>1694.0</v>
      </c>
      <c r="E132" s="15">
        <v>1711.650024</v>
      </c>
      <c r="F132" s="15">
        <v>1632.05835</v>
      </c>
      <c r="G132" s="15">
        <v>4202122.0</v>
      </c>
      <c r="H132" s="19">
        <f t="shared" si="1"/>
        <v>0.009644295716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>
        <v>44538.0</v>
      </c>
      <c r="B133" s="15">
        <v>1733.0</v>
      </c>
      <c r="C133" s="15">
        <v>1759.800049</v>
      </c>
      <c r="D133" s="15">
        <v>1732.599976</v>
      </c>
      <c r="E133" s="15">
        <v>1753.349976</v>
      </c>
      <c r="F133" s="15">
        <v>1671.819092</v>
      </c>
      <c r="G133" s="15">
        <v>3029169.0</v>
      </c>
      <c r="H133" s="19">
        <f t="shared" si="1"/>
        <v>0.02436242889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>
        <v>44539.0</v>
      </c>
      <c r="B134" s="15">
        <v>1759.0</v>
      </c>
      <c r="C134" s="15">
        <v>1769.400024</v>
      </c>
      <c r="D134" s="15">
        <v>1742.0</v>
      </c>
      <c r="E134" s="15">
        <v>1763.449951</v>
      </c>
      <c r="F134" s="15">
        <v>1681.449585</v>
      </c>
      <c r="G134" s="15">
        <v>2082171.0</v>
      </c>
      <c r="H134" s="19">
        <f t="shared" si="1"/>
        <v>0.005760387338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>
        <v>44540.0</v>
      </c>
      <c r="B135" s="15">
        <v>1760.0</v>
      </c>
      <c r="C135" s="15">
        <v>1763.75</v>
      </c>
      <c r="D135" s="15">
        <v>1746.0</v>
      </c>
      <c r="E135" s="15">
        <v>1759.25</v>
      </c>
      <c r="F135" s="15">
        <v>1677.444824</v>
      </c>
      <c r="G135" s="15">
        <v>1823469.0</v>
      </c>
      <c r="H135" s="19">
        <f t="shared" si="1"/>
        <v>-0.002381667253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>
        <v>44543.0</v>
      </c>
      <c r="B136" s="15">
        <v>1767.050049</v>
      </c>
      <c r="C136" s="15">
        <v>1771.349976</v>
      </c>
      <c r="D136" s="15">
        <v>1738.800049</v>
      </c>
      <c r="E136" s="15">
        <v>1744.650024</v>
      </c>
      <c r="F136" s="15">
        <v>1663.523682</v>
      </c>
      <c r="G136" s="15">
        <v>4040584.0</v>
      </c>
      <c r="H136" s="19">
        <f t="shared" si="1"/>
        <v>-0.008298977405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>
        <v>44544.0</v>
      </c>
      <c r="B137" s="15">
        <v>1730.900024</v>
      </c>
      <c r="C137" s="15">
        <v>1763.0</v>
      </c>
      <c r="D137" s="15">
        <v>1710.349976</v>
      </c>
      <c r="E137" s="15">
        <v>1752.150024</v>
      </c>
      <c r="F137" s="15">
        <v>1670.674927</v>
      </c>
      <c r="G137" s="15">
        <v>4768144.0</v>
      </c>
      <c r="H137" s="19">
        <f t="shared" si="1"/>
        <v>0.004298856445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>
        <v>44545.0</v>
      </c>
      <c r="B138" s="15">
        <v>1745.0</v>
      </c>
      <c r="C138" s="15">
        <v>1747.949951</v>
      </c>
      <c r="D138" s="15">
        <v>1721.199951</v>
      </c>
      <c r="E138" s="15">
        <v>1734.199951</v>
      </c>
      <c r="F138" s="15">
        <v>1653.55957</v>
      </c>
      <c r="G138" s="15">
        <v>3053149.0</v>
      </c>
      <c r="H138" s="19">
        <f t="shared" si="1"/>
        <v>-0.01024459821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>
        <v>44546.0</v>
      </c>
      <c r="B139" s="15">
        <v>1762.650024</v>
      </c>
      <c r="C139" s="15">
        <v>1777.599976</v>
      </c>
      <c r="D139" s="15">
        <v>1758.0</v>
      </c>
      <c r="E139" s="15">
        <v>1771.599976</v>
      </c>
      <c r="F139" s="15">
        <v>1689.220459</v>
      </c>
      <c r="G139" s="15">
        <v>4481031.0</v>
      </c>
      <c r="H139" s="19">
        <f t="shared" si="1"/>
        <v>0.02156615503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>
        <v>44547.0</v>
      </c>
      <c r="B140" s="15">
        <v>1820.0</v>
      </c>
      <c r="C140" s="15">
        <v>1842.0</v>
      </c>
      <c r="D140" s="15">
        <v>1806.75</v>
      </c>
      <c r="E140" s="15">
        <v>1820.849976</v>
      </c>
      <c r="F140" s="15">
        <v>1736.180298</v>
      </c>
      <c r="G140" s="15">
        <v>1.8887243E7</v>
      </c>
      <c r="H140" s="19">
        <f t="shared" si="1"/>
        <v>0.02779972944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>
        <v>44550.0</v>
      </c>
      <c r="B141" s="15">
        <v>1801.699951</v>
      </c>
      <c r="C141" s="15">
        <v>1829.650024</v>
      </c>
      <c r="D141" s="15">
        <v>1787.300049</v>
      </c>
      <c r="E141" s="15">
        <v>1798.900024</v>
      </c>
      <c r="F141" s="15">
        <v>1715.251099</v>
      </c>
      <c r="G141" s="15">
        <v>5773891.0</v>
      </c>
      <c r="H141" s="19">
        <f t="shared" si="1"/>
        <v>-0.01205478336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>
        <v>44551.0</v>
      </c>
      <c r="B142" s="15">
        <v>1801.0</v>
      </c>
      <c r="C142" s="15">
        <v>1838.0</v>
      </c>
      <c r="D142" s="15">
        <v>1801.0</v>
      </c>
      <c r="E142" s="15">
        <v>1811.599976</v>
      </c>
      <c r="F142" s="15">
        <v>1727.360474</v>
      </c>
      <c r="G142" s="15">
        <v>5353584.0</v>
      </c>
      <c r="H142" s="19">
        <f t="shared" si="1"/>
        <v>0.007059843143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>
        <v>44552.0</v>
      </c>
      <c r="B143" s="15">
        <v>1825.0</v>
      </c>
      <c r="C143" s="15">
        <v>1829.150024</v>
      </c>
      <c r="D143" s="15">
        <v>1812.349976</v>
      </c>
      <c r="E143" s="15">
        <v>1824.699951</v>
      </c>
      <c r="F143" s="15">
        <v>1739.851196</v>
      </c>
      <c r="G143" s="15">
        <v>4156428.0</v>
      </c>
      <c r="H143" s="19">
        <f t="shared" si="1"/>
        <v>0.007231163156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>
        <v>44553.0</v>
      </c>
      <c r="B144" s="15">
        <v>1831.25</v>
      </c>
      <c r="C144" s="15">
        <v>1861.599976</v>
      </c>
      <c r="D144" s="15">
        <v>1827.0</v>
      </c>
      <c r="E144" s="15">
        <v>1857.599976</v>
      </c>
      <c r="F144" s="15">
        <v>1771.221436</v>
      </c>
      <c r="G144" s="15">
        <v>4112933.0</v>
      </c>
      <c r="H144" s="19">
        <f t="shared" si="1"/>
        <v>0.01803037534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>
        <v>44554.0</v>
      </c>
      <c r="B145" s="15">
        <v>1872.949951</v>
      </c>
      <c r="C145" s="15">
        <v>1875.75</v>
      </c>
      <c r="D145" s="15">
        <v>1854.0</v>
      </c>
      <c r="E145" s="15">
        <v>1863.5</v>
      </c>
      <c r="F145" s="15">
        <v>1776.847046</v>
      </c>
      <c r="G145" s="15">
        <v>3780347.0</v>
      </c>
      <c r="H145" s="19">
        <f t="shared" si="1"/>
        <v>0.003176154218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>
        <v>44557.0</v>
      </c>
      <c r="B146" s="15">
        <v>1860.0</v>
      </c>
      <c r="C146" s="15">
        <v>1874.5</v>
      </c>
      <c r="D146" s="15">
        <v>1845.050049</v>
      </c>
      <c r="E146" s="15">
        <v>1866.150024</v>
      </c>
      <c r="F146" s="15">
        <v>1779.374023</v>
      </c>
      <c r="G146" s="15">
        <v>2647733.0</v>
      </c>
      <c r="H146" s="19">
        <f t="shared" si="1"/>
        <v>0.001422068151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>
        <v>44558.0</v>
      </c>
      <c r="B147" s="15">
        <v>1880.699951</v>
      </c>
      <c r="C147" s="15">
        <v>1895.900024</v>
      </c>
      <c r="D147" s="15">
        <v>1878.400024</v>
      </c>
      <c r="E147" s="15">
        <v>1888.0</v>
      </c>
      <c r="F147" s="15">
        <v>1800.207886</v>
      </c>
      <c r="G147" s="15">
        <v>3340933.0</v>
      </c>
      <c r="H147" s="19">
        <f t="shared" si="1"/>
        <v>0.0117085849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>
        <v>44559.0</v>
      </c>
      <c r="B148" s="15">
        <v>1883.5</v>
      </c>
      <c r="C148" s="15">
        <v>1893.800049</v>
      </c>
      <c r="D148" s="15">
        <v>1876.400024</v>
      </c>
      <c r="E148" s="15">
        <v>1885.550049</v>
      </c>
      <c r="F148" s="15">
        <v>1797.871948</v>
      </c>
      <c r="G148" s="15">
        <v>3236635.0</v>
      </c>
      <c r="H148" s="19">
        <f t="shared" si="1"/>
        <v>-0.001297643538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>
        <v>44560.0</v>
      </c>
      <c r="B149" s="15">
        <v>1884.5</v>
      </c>
      <c r="C149" s="15">
        <v>1909.800049</v>
      </c>
      <c r="D149" s="15">
        <v>1874.349976</v>
      </c>
      <c r="E149" s="15">
        <v>1892.849976</v>
      </c>
      <c r="F149" s="15">
        <v>1804.832397</v>
      </c>
      <c r="G149" s="15">
        <v>4584738.0</v>
      </c>
      <c r="H149" s="19">
        <f t="shared" si="1"/>
        <v>0.003871510599</v>
      </c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>
        <v>44561.0</v>
      </c>
      <c r="B150" s="15">
        <v>1890.0</v>
      </c>
      <c r="C150" s="15">
        <v>1898.349976</v>
      </c>
      <c r="D150" s="15">
        <v>1871.650024</v>
      </c>
      <c r="E150" s="15">
        <v>1887.75</v>
      </c>
      <c r="F150" s="15">
        <v>1799.969482</v>
      </c>
      <c r="G150" s="15">
        <v>4619420.0</v>
      </c>
      <c r="H150" s="19">
        <f t="shared" si="1"/>
        <v>-0.002694337145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>
        <v>44564.0</v>
      </c>
      <c r="B151" s="15">
        <v>1887.75</v>
      </c>
      <c r="C151" s="15">
        <v>1914.050049</v>
      </c>
      <c r="D151" s="15">
        <v>1887.75</v>
      </c>
      <c r="E151" s="15">
        <v>1898.449951</v>
      </c>
      <c r="F151" s="15">
        <v>1810.171875</v>
      </c>
      <c r="G151" s="15">
        <v>3329616.0</v>
      </c>
      <c r="H151" s="19">
        <f t="shared" si="1"/>
        <v>0.005668097471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>
        <v>44565.0</v>
      </c>
      <c r="B152" s="15">
        <v>1898.449951</v>
      </c>
      <c r="C152" s="15">
        <v>1906.650024</v>
      </c>
      <c r="D152" s="15">
        <v>1878.0</v>
      </c>
      <c r="E152" s="15">
        <v>1899.150024</v>
      </c>
      <c r="F152" s="15">
        <v>1810.839478</v>
      </c>
      <c r="G152" s="15">
        <v>3921999.0</v>
      </c>
      <c r="H152" s="19">
        <f t="shared" si="1"/>
        <v>0.000368760314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>
        <v>44566.0</v>
      </c>
      <c r="B153" s="15">
        <v>1900.0</v>
      </c>
      <c r="C153" s="15">
        <v>1902.900024</v>
      </c>
      <c r="D153" s="15">
        <v>1840.0</v>
      </c>
      <c r="E153" s="15">
        <v>1844.650024</v>
      </c>
      <c r="F153" s="15">
        <v>1758.873535</v>
      </c>
      <c r="G153" s="15">
        <v>6995719.0</v>
      </c>
      <c r="H153" s="19">
        <f t="shared" si="1"/>
        <v>-0.02869704832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>
        <v>44567.0</v>
      </c>
      <c r="B154" s="15">
        <v>1828.0</v>
      </c>
      <c r="C154" s="15">
        <v>1828.0</v>
      </c>
      <c r="D154" s="15">
        <v>1800.0</v>
      </c>
      <c r="E154" s="15">
        <v>1817.800049</v>
      </c>
      <c r="F154" s="15">
        <v>1733.272339</v>
      </c>
      <c r="G154" s="15">
        <v>6449205.0</v>
      </c>
      <c r="H154" s="19">
        <f t="shared" si="1"/>
        <v>-0.01455559301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>
        <v>44568.0</v>
      </c>
      <c r="B155" s="15">
        <v>1815.449951</v>
      </c>
      <c r="C155" s="15">
        <v>1836.0</v>
      </c>
      <c r="D155" s="15">
        <v>1806.800049</v>
      </c>
      <c r="E155" s="15">
        <v>1814.300049</v>
      </c>
      <c r="F155" s="15">
        <v>1729.935059</v>
      </c>
      <c r="G155" s="15">
        <v>4834389.0</v>
      </c>
      <c r="H155" s="19">
        <f t="shared" si="1"/>
        <v>-0.001925404283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>
        <v>44571.0</v>
      </c>
      <c r="B156" s="15">
        <v>1815.0</v>
      </c>
      <c r="C156" s="15">
        <v>1869.900024</v>
      </c>
      <c r="D156" s="15">
        <v>1813.0</v>
      </c>
      <c r="E156" s="15">
        <v>1850.75</v>
      </c>
      <c r="F156" s="15">
        <v>1764.690186</v>
      </c>
      <c r="G156" s="15">
        <v>7857560.0</v>
      </c>
      <c r="H156" s="19">
        <f t="shared" si="1"/>
        <v>0.02009036544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>
        <v>44572.0</v>
      </c>
      <c r="B157" s="15">
        <v>1855.0</v>
      </c>
      <c r="C157" s="15">
        <v>1870.0</v>
      </c>
      <c r="D157" s="15">
        <v>1850.150024</v>
      </c>
      <c r="E157" s="15">
        <v>1855.599976</v>
      </c>
      <c r="F157" s="15">
        <v>1769.314453</v>
      </c>
      <c r="G157" s="15">
        <v>5142287.0</v>
      </c>
      <c r="H157" s="19">
        <f t="shared" si="1"/>
        <v>0.002620546265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>
        <v>44573.0</v>
      </c>
      <c r="B158" s="15">
        <v>1868.900024</v>
      </c>
      <c r="C158" s="15">
        <v>1889.0</v>
      </c>
      <c r="D158" s="15">
        <v>1860.0</v>
      </c>
      <c r="E158" s="15">
        <v>1877.449951</v>
      </c>
      <c r="F158" s="15">
        <v>1790.148438</v>
      </c>
      <c r="G158" s="15">
        <v>5362535.0</v>
      </c>
      <c r="H158" s="19">
        <f t="shared" si="1"/>
        <v>0.01177515374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>
        <v>44574.0</v>
      </c>
      <c r="B159" s="15">
        <v>1905.0</v>
      </c>
      <c r="C159" s="15">
        <v>1912.5</v>
      </c>
      <c r="D159" s="15">
        <v>1866.349976</v>
      </c>
      <c r="E159" s="15">
        <v>1896.800049</v>
      </c>
      <c r="F159" s="15">
        <v>1808.598755</v>
      </c>
      <c r="G159" s="15">
        <v>1.427763E7</v>
      </c>
      <c r="H159" s="19">
        <f t="shared" si="1"/>
        <v>0.01030658526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>
        <v>44575.0</v>
      </c>
      <c r="B160" s="15">
        <v>1882.0</v>
      </c>
      <c r="C160" s="15">
        <v>1933.0</v>
      </c>
      <c r="D160" s="15">
        <v>1881.0</v>
      </c>
      <c r="E160" s="15">
        <v>1929.349976</v>
      </c>
      <c r="F160" s="15">
        <v>1839.635132</v>
      </c>
      <c r="G160" s="15">
        <v>7688506.0</v>
      </c>
      <c r="H160" s="19">
        <f t="shared" si="1"/>
        <v>0.01716044188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>
        <v>44578.0</v>
      </c>
      <c r="B161" s="15">
        <v>1938.550049</v>
      </c>
      <c r="C161" s="15">
        <v>1953.900024</v>
      </c>
      <c r="D161" s="15">
        <v>1930.5</v>
      </c>
      <c r="E161" s="15">
        <v>1939.5</v>
      </c>
      <c r="F161" s="15">
        <v>1849.313232</v>
      </c>
      <c r="G161" s="15">
        <v>5262464.0</v>
      </c>
      <c r="H161" s="19">
        <f t="shared" si="1"/>
        <v>0.005260851648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>
        <v>44579.0</v>
      </c>
      <c r="B162" s="15">
        <v>1922.099976</v>
      </c>
      <c r="C162" s="15">
        <v>1945.0</v>
      </c>
      <c r="D162" s="15">
        <v>1911.449951</v>
      </c>
      <c r="E162" s="15">
        <v>1920.75</v>
      </c>
      <c r="F162" s="15">
        <v>1831.434937</v>
      </c>
      <c r="G162" s="15">
        <v>3690315.0</v>
      </c>
      <c r="H162" s="19">
        <f t="shared" si="1"/>
        <v>-0.009667440062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>
        <v>44580.0</v>
      </c>
      <c r="B163" s="15">
        <v>1916.0</v>
      </c>
      <c r="C163" s="15">
        <v>1916.0</v>
      </c>
      <c r="D163" s="15">
        <v>1862.849976</v>
      </c>
      <c r="E163" s="15">
        <v>1867.050049</v>
      </c>
      <c r="F163" s="15">
        <v>1780.232178</v>
      </c>
      <c r="G163" s="15">
        <v>5747770.0</v>
      </c>
      <c r="H163" s="19">
        <f t="shared" si="1"/>
        <v>-0.02795780346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>
        <v>44581.0</v>
      </c>
      <c r="B164" s="15">
        <v>1844.0</v>
      </c>
      <c r="C164" s="15">
        <v>1848.0</v>
      </c>
      <c r="D164" s="15">
        <v>1815.5</v>
      </c>
      <c r="E164" s="15">
        <v>1823.699951</v>
      </c>
      <c r="F164" s="15">
        <v>1738.897827</v>
      </c>
      <c r="G164" s="15">
        <v>5533463.0</v>
      </c>
      <c r="H164" s="19">
        <f t="shared" si="1"/>
        <v>-0.02321849809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>
        <v>44582.0</v>
      </c>
      <c r="B165" s="15">
        <v>1795.0</v>
      </c>
      <c r="C165" s="15">
        <v>1808.0</v>
      </c>
      <c r="D165" s="15">
        <v>1776.0</v>
      </c>
      <c r="E165" s="15">
        <v>1785.699951</v>
      </c>
      <c r="F165" s="15">
        <v>1702.664795</v>
      </c>
      <c r="G165" s="15">
        <v>8252758.0</v>
      </c>
      <c r="H165" s="19">
        <f t="shared" si="1"/>
        <v>-0.02083676099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>
        <v>44585.0</v>
      </c>
      <c r="B166" s="15">
        <v>1765.0</v>
      </c>
      <c r="C166" s="15">
        <v>1768.650024</v>
      </c>
      <c r="D166" s="15">
        <v>1728.0</v>
      </c>
      <c r="E166" s="15">
        <v>1736.800049</v>
      </c>
      <c r="F166" s="15">
        <v>1656.038696</v>
      </c>
      <c r="G166" s="15">
        <v>7116712.0</v>
      </c>
      <c r="H166" s="19">
        <f t="shared" si="1"/>
        <v>-0.02738416494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>
        <v>44586.0</v>
      </c>
      <c r="B167" s="15">
        <v>1726.599976</v>
      </c>
      <c r="C167" s="15">
        <v>1740.0</v>
      </c>
      <c r="D167" s="15">
        <v>1700.5</v>
      </c>
      <c r="E167" s="15">
        <v>1722.150024</v>
      </c>
      <c r="F167" s="15">
        <v>1642.069946</v>
      </c>
      <c r="G167" s="15">
        <v>9137653.0</v>
      </c>
      <c r="H167" s="19">
        <f t="shared" si="1"/>
        <v>-0.008435067127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>
        <v>44588.0</v>
      </c>
      <c r="B168" s="15">
        <v>1702.0</v>
      </c>
      <c r="C168" s="15">
        <v>1709.699951</v>
      </c>
      <c r="D168" s="15">
        <v>1665.0</v>
      </c>
      <c r="E168" s="15">
        <v>1678.599976</v>
      </c>
      <c r="F168" s="15">
        <v>1600.5448</v>
      </c>
      <c r="G168" s="15">
        <v>1.1231734E7</v>
      </c>
      <c r="H168" s="19">
        <f t="shared" si="1"/>
        <v>-0.02528818477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>
        <v>44589.0</v>
      </c>
      <c r="B169" s="15">
        <v>1681.0</v>
      </c>
      <c r="C169" s="15">
        <v>1727.550049</v>
      </c>
      <c r="D169" s="15">
        <v>1679.5</v>
      </c>
      <c r="E169" s="15">
        <v>1686.199951</v>
      </c>
      <c r="F169" s="15">
        <v>1607.791626</v>
      </c>
      <c r="G169" s="15">
        <v>1.0998502E7</v>
      </c>
      <c r="H169" s="19">
        <f t="shared" si="1"/>
        <v>0.004527567681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>
        <v>44592.0</v>
      </c>
      <c r="B170" s="15">
        <v>1718.0</v>
      </c>
      <c r="C170" s="15">
        <v>1749.5</v>
      </c>
      <c r="D170" s="15">
        <v>1715.349976</v>
      </c>
      <c r="E170" s="15">
        <v>1736.199951</v>
      </c>
      <c r="F170" s="15">
        <v>1655.466553</v>
      </c>
      <c r="G170" s="15">
        <v>8788872.0</v>
      </c>
      <c r="H170" s="19">
        <f t="shared" si="1"/>
        <v>0.02965247388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>
        <v>44593.0</v>
      </c>
      <c r="B171" s="15">
        <v>1766.099976</v>
      </c>
      <c r="C171" s="15">
        <v>1780.0</v>
      </c>
      <c r="D171" s="15">
        <v>1734.699951</v>
      </c>
      <c r="E171" s="15">
        <v>1772.050049</v>
      </c>
      <c r="F171" s="15">
        <v>1689.649536</v>
      </c>
      <c r="G171" s="15">
        <v>5119935.0</v>
      </c>
      <c r="H171" s="19">
        <f t="shared" si="1"/>
        <v>0.02064859982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>
        <v>44594.0</v>
      </c>
      <c r="B172" s="15">
        <v>1789.0</v>
      </c>
      <c r="C172" s="15">
        <v>1792.800049</v>
      </c>
      <c r="D172" s="15">
        <v>1772.0</v>
      </c>
      <c r="E172" s="15">
        <v>1787.099976</v>
      </c>
      <c r="F172" s="15">
        <v>1703.999756</v>
      </c>
      <c r="G172" s="15">
        <v>4253717.0</v>
      </c>
      <c r="H172" s="19">
        <f t="shared" si="1"/>
        <v>0.008492946917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>
        <v>44595.0</v>
      </c>
      <c r="B173" s="15">
        <v>1779.0</v>
      </c>
      <c r="C173" s="15">
        <v>1779.0</v>
      </c>
      <c r="D173" s="15">
        <v>1734.0</v>
      </c>
      <c r="E173" s="15">
        <v>1738.550049</v>
      </c>
      <c r="F173" s="15">
        <v>1657.707397</v>
      </c>
      <c r="G173" s="15">
        <v>3832922.0</v>
      </c>
      <c r="H173" s="19">
        <f t="shared" si="1"/>
        <v>-0.02716687799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>
        <v>44596.0</v>
      </c>
      <c r="B174" s="15">
        <v>1732.0</v>
      </c>
      <c r="C174" s="15">
        <v>1753.949951</v>
      </c>
      <c r="D174" s="15">
        <v>1710.150024</v>
      </c>
      <c r="E174" s="15">
        <v>1741.099976</v>
      </c>
      <c r="F174" s="15">
        <v>1660.138672</v>
      </c>
      <c r="G174" s="15">
        <v>4700077.0</v>
      </c>
      <c r="H174" s="19">
        <f t="shared" si="1"/>
        <v>0.001466697494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>
        <v>44599.0</v>
      </c>
      <c r="B175" s="15">
        <v>1722.199951</v>
      </c>
      <c r="C175" s="15">
        <v>1732.0</v>
      </c>
      <c r="D175" s="15">
        <v>1695.400024</v>
      </c>
      <c r="E175" s="15">
        <v>1715.0</v>
      </c>
      <c r="F175" s="15">
        <v>1635.252441</v>
      </c>
      <c r="G175" s="15">
        <v>4310209.0</v>
      </c>
      <c r="H175" s="19">
        <f t="shared" si="1"/>
        <v>-0.01499050965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>
        <v>44600.0</v>
      </c>
      <c r="B176" s="15">
        <v>1710.0</v>
      </c>
      <c r="C176" s="15">
        <v>1725.0</v>
      </c>
      <c r="D176" s="15">
        <v>1696.0</v>
      </c>
      <c r="E176" s="15">
        <v>1717.300049</v>
      </c>
      <c r="F176" s="15">
        <v>1637.445557</v>
      </c>
      <c r="G176" s="15">
        <v>6053401.0</v>
      </c>
      <c r="H176" s="19">
        <f t="shared" si="1"/>
        <v>0.001341136443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>
        <v>44601.0</v>
      </c>
      <c r="B177" s="15">
        <v>1735.0</v>
      </c>
      <c r="C177" s="15">
        <v>1743.0</v>
      </c>
      <c r="D177" s="15">
        <v>1725.0</v>
      </c>
      <c r="E177" s="15">
        <v>1737.300049</v>
      </c>
      <c r="F177" s="15">
        <v>1656.515625</v>
      </c>
      <c r="G177" s="15">
        <v>3867244.0</v>
      </c>
      <c r="H177" s="19">
        <f t="shared" si="1"/>
        <v>0.01164618845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>
        <v>44602.0</v>
      </c>
      <c r="B178" s="15">
        <v>1755.650024</v>
      </c>
      <c r="C178" s="15">
        <v>1773.900024</v>
      </c>
      <c r="D178" s="15">
        <v>1748.75</v>
      </c>
      <c r="E178" s="15">
        <v>1769.599976</v>
      </c>
      <c r="F178" s="15">
        <v>1687.313477</v>
      </c>
      <c r="G178" s="15">
        <v>4334630.0</v>
      </c>
      <c r="H178" s="19">
        <f t="shared" si="1"/>
        <v>0.01859202561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>
        <v>44603.0</v>
      </c>
      <c r="B179" s="15">
        <v>1740.0</v>
      </c>
      <c r="C179" s="15">
        <v>1745.949951</v>
      </c>
      <c r="D179" s="15">
        <v>1713.0</v>
      </c>
      <c r="E179" s="15">
        <v>1721.349976</v>
      </c>
      <c r="F179" s="15">
        <v>1641.307129</v>
      </c>
      <c r="G179" s="15">
        <v>7551371.0</v>
      </c>
      <c r="H179" s="19">
        <f t="shared" si="1"/>
        <v>-0.02726604919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>
        <v>44606.0</v>
      </c>
      <c r="B180" s="15">
        <v>1690.0</v>
      </c>
      <c r="C180" s="15">
        <v>1718.550049</v>
      </c>
      <c r="D180" s="15">
        <v>1678.25</v>
      </c>
      <c r="E180" s="15">
        <v>1682.199951</v>
      </c>
      <c r="F180" s="15">
        <v>1603.977417</v>
      </c>
      <c r="G180" s="15">
        <v>7459637.0</v>
      </c>
      <c r="H180" s="19">
        <f t="shared" si="1"/>
        <v>-0.02274379153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>
        <v>44607.0</v>
      </c>
      <c r="B181" s="15">
        <v>1699.0</v>
      </c>
      <c r="C181" s="15">
        <v>1746.75</v>
      </c>
      <c r="D181" s="15">
        <v>1690.449951</v>
      </c>
      <c r="E181" s="15">
        <v>1738.25</v>
      </c>
      <c r="F181" s="15">
        <v>1657.421387</v>
      </c>
      <c r="G181" s="15">
        <v>4669915.0</v>
      </c>
      <c r="H181" s="19">
        <f t="shared" si="1"/>
        <v>0.03331949271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>
        <v>44608.0</v>
      </c>
      <c r="B182" s="15">
        <v>1738.25</v>
      </c>
      <c r="C182" s="15">
        <v>1755.449951</v>
      </c>
      <c r="D182" s="15">
        <v>1726.849976</v>
      </c>
      <c r="E182" s="15">
        <v>1733.300049</v>
      </c>
      <c r="F182" s="15">
        <v>1652.701538</v>
      </c>
      <c r="G182" s="15">
        <v>5350642.0</v>
      </c>
      <c r="H182" s="19">
        <f t="shared" si="1"/>
        <v>-0.002847663455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>
        <v>44609.0</v>
      </c>
      <c r="B183" s="15">
        <v>1744.0</v>
      </c>
      <c r="C183" s="15">
        <v>1749.0</v>
      </c>
      <c r="D183" s="15">
        <v>1720.300049</v>
      </c>
      <c r="E183" s="15">
        <v>1724.800049</v>
      </c>
      <c r="F183" s="15">
        <v>1644.596802</v>
      </c>
      <c r="G183" s="15">
        <v>3937950.0</v>
      </c>
      <c r="H183" s="19">
        <f t="shared" si="1"/>
        <v>-0.004903940322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>
        <v>44610.0</v>
      </c>
      <c r="B184" s="15">
        <v>1710.0</v>
      </c>
      <c r="C184" s="15">
        <v>1722.5</v>
      </c>
      <c r="D184" s="15">
        <v>1703.5</v>
      </c>
      <c r="E184" s="15">
        <v>1706.949951</v>
      </c>
      <c r="F184" s="15">
        <v>1627.57666</v>
      </c>
      <c r="G184" s="15">
        <v>5602215.0</v>
      </c>
      <c r="H184" s="19">
        <f t="shared" si="1"/>
        <v>-0.0103490825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>
        <v>44613.0</v>
      </c>
      <c r="B185" s="15">
        <v>1701.0</v>
      </c>
      <c r="C185" s="15">
        <v>1737.300049</v>
      </c>
      <c r="D185" s="15">
        <v>1691.5</v>
      </c>
      <c r="E185" s="15">
        <v>1730.699951</v>
      </c>
      <c r="F185" s="15">
        <v>1650.22229</v>
      </c>
      <c r="G185" s="15">
        <v>5120890.0</v>
      </c>
      <c r="H185" s="19">
        <f t="shared" si="1"/>
        <v>0.01391370613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>
        <v>44614.0</v>
      </c>
      <c r="B186" s="15">
        <v>1699.900024</v>
      </c>
      <c r="C186" s="15">
        <v>1751.0</v>
      </c>
      <c r="D186" s="15">
        <v>1691.050049</v>
      </c>
      <c r="E186" s="15">
        <v>1734.349976</v>
      </c>
      <c r="F186" s="15">
        <v>1653.702637</v>
      </c>
      <c r="G186" s="15">
        <v>8878515.0</v>
      </c>
      <c r="H186" s="19">
        <f t="shared" si="1"/>
        <v>0.002108987753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>
        <v>44615.0</v>
      </c>
      <c r="B187" s="15">
        <v>1750.0</v>
      </c>
      <c r="C187" s="15">
        <v>1758.25</v>
      </c>
      <c r="D187" s="15">
        <v>1733.400024</v>
      </c>
      <c r="E187" s="15">
        <v>1742.849976</v>
      </c>
      <c r="F187" s="15">
        <v>1661.807495</v>
      </c>
      <c r="G187" s="15">
        <v>5478811.0</v>
      </c>
      <c r="H187" s="19">
        <f t="shared" si="1"/>
        <v>0.004900971613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>
        <v>44616.0</v>
      </c>
      <c r="B188" s="15">
        <v>1690.099976</v>
      </c>
      <c r="C188" s="15">
        <v>1714.949951</v>
      </c>
      <c r="D188" s="15">
        <v>1670.5</v>
      </c>
      <c r="E188" s="15">
        <v>1678.150024</v>
      </c>
      <c r="F188" s="15">
        <v>1600.115845</v>
      </c>
      <c r="G188" s="15">
        <v>1.3592379E7</v>
      </c>
      <c r="H188" s="19">
        <f t="shared" si="1"/>
        <v>-0.03712307593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>
        <v>44617.0</v>
      </c>
      <c r="B189" s="15">
        <v>1715.0</v>
      </c>
      <c r="C189" s="15">
        <v>1728.150024</v>
      </c>
      <c r="D189" s="15">
        <v>1677.0</v>
      </c>
      <c r="E189" s="15">
        <v>1694.599976</v>
      </c>
      <c r="F189" s="15">
        <v>1615.801025</v>
      </c>
      <c r="G189" s="15">
        <v>9737281.0</v>
      </c>
      <c r="H189" s="19">
        <f t="shared" si="1"/>
        <v>0.0098024323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>
        <v>44620.0</v>
      </c>
      <c r="B190" s="15">
        <v>1682.199951</v>
      </c>
      <c r="C190" s="15">
        <v>1728.050049</v>
      </c>
      <c r="D190" s="15">
        <v>1665.0</v>
      </c>
      <c r="E190" s="15">
        <v>1715.599976</v>
      </c>
      <c r="F190" s="15">
        <v>1635.824463</v>
      </c>
      <c r="G190" s="15">
        <v>1.5076542E7</v>
      </c>
      <c r="H190" s="19">
        <f t="shared" si="1"/>
        <v>0.01239230514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>
        <v>44622.0</v>
      </c>
      <c r="B191" s="15">
        <v>1710.0</v>
      </c>
      <c r="C191" s="15">
        <v>1714.400024</v>
      </c>
      <c r="D191" s="15">
        <v>1691.0</v>
      </c>
      <c r="E191" s="15">
        <v>1702.800049</v>
      </c>
      <c r="F191" s="15">
        <v>1623.619751</v>
      </c>
      <c r="G191" s="15">
        <v>6771489.0</v>
      </c>
      <c r="H191" s="19">
        <f t="shared" si="1"/>
        <v>-0.007460904161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>
        <v>44623.0</v>
      </c>
      <c r="B192" s="15">
        <v>1720.199951</v>
      </c>
      <c r="C192" s="15">
        <v>1733.900024</v>
      </c>
      <c r="D192" s="15">
        <v>1705.550049</v>
      </c>
      <c r="E192" s="15">
        <v>1720.849976</v>
      </c>
      <c r="F192" s="15">
        <v>1640.830322</v>
      </c>
      <c r="G192" s="15">
        <v>7344147.0</v>
      </c>
      <c r="H192" s="19">
        <f t="shared" si="1"/>
        <v>0.01060014475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>
        <v>44624.0</v>
      </c>
      <c r="B193" s="15">
        <v>1695.25</v>
      </c>
      <c r="C193" s="15">
        <v>1736.0</v>
      </c>
      <c r="D193" s="15">
        <v>1681.0</v>
      </c>
      <c r="E193" s="15">
        <v>1723.300049</v>
      </c>
      <c r="F193" s="15">
        <v>1643.166504</v>
      </c>
      <c r="G193" s="15">
        <v>9074499.0</v>
      </c>
      <c r="H193" s="19">
        <f t="shared" si="1"/>
        <v>0.001423757465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>
        <v>44627.0</v>
      </c>
      <c r="B194" s="15">
        <v>1697.0</v>
      </c>
      <c r="C194" s="15">
        <v>1751.0</v>
      </c>
      <c r="D194" s="15">
        <v>1696.0</v>
      </c>
      <c r="E194" s="15">
        <v>1739.849976</v>
      </c>
      <c r="F194" s="15">
        <v>1658.946899</v>
      </c>
      <c r="G194" s="15">
        <v>9742588.0</v>
      </c>
      <c r="H194" s="19">
        <f t="shared" si="1"/>
        <v>0.009603624749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>
        <v>44628.0</v>
      </c>
      <c r="B195" s="15">
        <v>1718.449951</v>
      </c>
      <c r="C195" s="15">
        <v>1800.0</v>
      </c>
      <c r="D195" s="15">
        <v>1718.449951</v>
      </c>
      <c r="E195" s="15">
        <v>1778.199951</v>
      </c>
      <c r="F195" s="15">
        <v>1695.51355</v>
      </c>
      <c r="G195" s="15">
        <v>1.09845E7</v>
      </c>
      <c r="H195" s="19">
        <f t="shared" si="1"/>
        <v>0.022042116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>
        <v>44629.0</v>
      </c>
      <c r="B196" s="15">
        <v>1791.0</v>
      </c>
      <c r="C196" s="15">
        <v>1831.599976</v>
      </c>
      <c r="D196" s="15">
        <v>1791.0</v>
      </c>
      <c r="E196" s="15">
        <v>1813.349976</v>
      </c>
      <c r="F196" s="15">
        <v>1729.029175</v>
      </c>
      <c r="G196" s="15">
        <v>1.0193515E7</v>
      </c>
      <c r="H196" s="19">
        <f t="shared" si="1"/>
        <v>0.0197671949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>
        <v>44630.0</v>
      </c>
      <c r="B197" s="15">
        <v>1844.75</v>
      </c>
      <c r="C197" s="15">
        <v>1844.75</v>
      </c>
      <c r="D197" s="15">
        <v>1810.199951</v>
      </c>
      <c r="E197" s="15">
        <v>1825.900024</v>
      </c>
      <c r="F197" s="15">
        <v>1740.995728</v>
      </c>
      <c r="G197" s="15">
        <v>6547182.0</v>
      </c>
      <c r="H197" s="19">
        <f t="shared" si="1"/>
        <v>0.006920918833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>
        <v>44631.0</v>
      </c>
      <c r="B198" s="15">
        <v>1814.0</v>
      </c>
      <c r="C198" s="15">
        <v>1831.400024</v>
      </c>
      <c r="D198" s="15">
        <v>1811.0</v>
      </c>
      <c r="E198" s="15">
        <v>1822.0</v>
      </c>
      <c r="F198" s="15">
        <v>1737.276855</v>
      </c>
      <c r="G198" s="15">
        <v>4758657.0</v>
      </c>
      <c r="H198" s="19">
        <f t="shared" si="1"/>
        <v>-0.002135946081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>
        <v>44634.0</v>
      </c>
      <c r="B199" s="15">
        <v>1831.550049</v>
      </c>
      <c r="C199" s="15">
        <v>1895.0</v>
      </c>
      <c r="D199" s="15">
        <v>1831.550049</v>
      </c>
      <c r="E199" s="15">
        <v>1890.699951</v>
      </c>
      <c r="F199" s="15">
        <v>1802.782227</v>
      </c>
      <c r="G199" s="15">
        <v>1.0289724E7</v>
      </c>
      <c r="H199" s="19">
        <f t="shared" si="1"/>
        <v>0.03770579089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>
        <v>44635.0</v>
      </c>
      <c r="B200" s="15">
        <v>1888.349976</v>
      </c>
      <c r="C200" s="15">
        <v>1888.349976</v>
      </c>
      <c r="D200" s="15">
        <v>1830.0</v>
      </c>
      <c r="E200" s="15">
        <v>1839.300049</v>
      </c>
      <c r="F200" s="15">
        <v>1753.772583</v>
      </c>
      <c r="G200" s="15">
        <v>7140443.0</v>
      </c>
      <c r="H200" s="19">
        <f t="shared" si="1"/>
        <v>-0.02718564729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>
        <v>44636.0</v>
      </c>
      <c r="B201" s="15">
        <v>1865.0</v>
      </c>
      <c r="C201" s="15">
        <v>1893.949951</v>
      </c>
      <c r="D201" s="15">
        <v>1849.0</v>
      </c>
      <c r="E201" s="15">
        <v>1889.400024</v>
      </c>
      <c r="F201" s="15">
        <v>1801.542847</v>
      </c>
      <c r="G201" s="15">
        <v>5233979.0</v>
      </c>
      <c r="H201" s="19">
        <f t="shared" si="1"/>
        <v>0.02723860907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>
        <v>44637.0</v>
      </c>
      <c r="B202" s="15">
        <v>1923.300049</v>
      </c>
      <c r="C202" s="15">
        <v>1923.300049</v>
      </c>
      <c r="D202" s="15">
        <v>1833.050049</v>
      </c>
      <c r="E202" s="15">
        <v>1854.599976</v>
      </c>
      <c r="F202" s="15">
        <v>1768.360962</v>
      </c>
      <c r="G202" s="15">
        <v>1.7731459E7</v>
      </c>
      <c r="H202" s="19">
        <f t="shared" si="1"/>
        <v>-0.01841857074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>
        <v>44641.0</v>
      </c>
      <c r="B203" s="15">
        <v>1861.0</v>
      </c>
      <c r="C203" s="15">
        <v>1886.900024</v>
      </c>
      <c r="D203" s="15">
        <v>1841.099976</v>
      </c>
      <c r="E203" s="15">
        <v>1853.050049</v>
      </c>
      <c r="F203" s="15">
        <v>1766.883179</v>
      </c>
      <c r="G203" s="15">
        <v>8362085.0</v>
      </c>
      <c r="H203" s="19">
        <f t="shared" si="1"/>
        <v>-0.0008357203818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>
        <v>44642.0</v>
      </c>
      <c r="B204" s="15">
        <v>1850.0</v>
      </c>
      <c r="C204" s="15">
        <v>1890.0</v>
      </c>
      <c r="D204" s="15">
        <v>1839.0</v>
      </c>
      <c r="E204" s="15">
        <v>1887.400024</v>
      </c>
      <c r="F204" s="15">
        <v>1799.635864</v>
      </c>
      <c r="G204" s="15">
        <v>5709382.0</v>
      </c>
      <c r="H204" s="19">
        <f t="shared" si="1"/>
        <v>0.01853699258</v>
      </c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>
        <v>44643.0</v>
      </c>
      <c r="B205" s="15">
        <v>1897.0</v>
      </c>
      <c r="C205" s="15">
        <v>1900.0</v>
      </c>
      <c r="D205" s="15">
        <v>1857.0</v>
      </c>
      <c r="E205" s="15">
        <v>1872.400024</v>
      </c>
      <c r="F205" s="15">
        <v>1785.333374</v>
      </c>
      <c r="G205" s="15">
        <v>6192824.0</v>
      </c>
      <c r="H205" s="19">
        <f t="shared" si="1"/>
        <v>-0.007947440823</v>
      </c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>
        <v>44644.0</v>
      </c>
      <c r="B206" s="15">
        <v>1856.150024</v>
      </c>
      <c r="C206" s="15">
        <v>1894.599976</v>
      </c>
      <c r="D206" s="15">
        <v>1856.150024</v>
      </c>
      <c r="E206" s="15">
        <v>1886.699951</v>
      </c>
      <c r="F206" s="15">
        <v>1798.968262</v>
      </c>
      <c r="G206" s="15">
        <v>3784303.0</v>
      </c>
      <c r="H206" s="19">
        <f t="shared" si="1"/>
        <v>0.007637217911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>
        <v>44645.0</v>
      </c>
      <c r="B207" s="15">
        <v>1892.0</v>
      </c>
      <c r="C207" s="15">
        <v>1894.0</v>
      </c>
      <c r="D207" s="15">
        <v>1858.0</v>
      </c>
      <c r="E207" s="15">
        <v>1876.550049</v>
      </c>
      <c r="F207" s="15">
        <v>1789.290405</v>
      </c>
      <c r="G207" s="15">
        <v>3438588.0</v>
      </c>
      <c r="H207" s="19">
        <f t="shared" si="1"/>
        <v>-0.005379711806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>
        <v>44648.0</v>
      </c>
      <c r="B208" s="15">
        <v>1866.0</v>
      </c>
      <c r="C208" s="15">
        <v>1880.900024</v>
      </c>
      <c r="D208" s="15">
        <v>1852.650024</v>
      </c>
      <c r="E208" s="15">
        <v>1873.900024</v>
      </c>
      <c r="F208" s="15">
        <v>1786.763672</v>
      </c>
      <c r="G208" s="15">
        <v>4008555.0</v>
      </c>
      <c r="H208" s="19">
        <f t="shared" si="1"/>
        <v>-0.001412179228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>
        <v>44649.0</v>
      </c>
      <c r="B209" s="15">
        <v>1873.900024</v>
      </c>
      <c r="C209" s="15">
        <v>1889.400024</v>
      </c>
      <c r="D209" s="15">
        <v>1860.550049</v>
      </c>
      <c r="E209" s="15">
        <v>1886.0</v>
      </c>
      <c r="F209" s="15">
        <v>1798.301025</v>
      </c>
      <c r="G209" s="15">
        <v>3917785.0</v>
      </c>
      <c r="H209" s="19">
        <f t="shared" si="1"/>
        <v>0.006457108621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>
        <v>44650.0</v>
      </c>
      <c r="B210" s="15">
        <v>1910.0</v>
      </c>
      <c r="C210" s="15">
        <v>1919.0</v>
      </c>
      <c r="D210" s="15">
        <v>1895.0</v>
      </c>
      <c r="E210" s="15">
        <v>1903.949951</v>
      </c>
      <c r="F210" s="15">
        <v>1815.41626</v>
      </c>
      <c r="G210" s="15">
        <v>7795839.0</v>
      </c>
      <c r="H210" s="19">
        <f t="shared" si="1"/>
        <v>0.009517471368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>
        <v>44651.0</v>
      </c>
      <c r="B211" s="15">
        <v>1900.0</v>
      </c>
      <c r="C211" s="15">
        <v>1913.0</v>
      </c>
      <c r="D211" s="15">
        <v>1894.199951</v>
      </c>
      <c r="E211" s="15">
        <v>1906.849976</v>
      </c>
      <c r="F211" s="15">
        <v>1818.181396</v>
      </c>
      <c r="G211" s="15">
        <v>5399145.0</v>
      </c>
      <c r="H211" s="19">
        <f t="shared" si="1"/>
        <v>0.001523162412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>
        <v>44652.0</v>
      </c>
      <c r="B212" s="15">
        <v>1886.849976</v>
      </c>
      <c r="C212" s="15">
        <v>1910.300049</v>
      </c>
      <c r="D212" s="15">
        <v>1878.300049</v>
      </c>
      <c r="E212" s="15">
        <v>1903.550049</v>
      </c>
      <c r="F212" s="15">
        <v>1815.03479</v>
      </c>
      <c r="G212" s="15">
        <v>6171518.0</v>
      </c>
      <c r="H212" s="19">
        <f t="shared" si="1"/>
        <v>-0.001730564565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>
        <v>44655.0</v>
      </c>
      <c r="B213" s="15">
        <v>1889.75</v>
      </c>
      <c r="C213" s="15">
        <v>1893.0</v>
      </c>
      <c r="D213" s="15">
        <v>1873.0</v>
      </c>
      <c r="E213" s="15">
        <v>1882.949951</v>
      </c>
      <c r="F213" s="15">
        <v>1795.3927</v>
      </c>
      <c r="G213" s="15">
        <v>7364074.0</v>
      </c>
      <c r="H213" s="19">
        <f t="shared" si="1"/>
        <v>-0.01082193663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>
        <v>44656.0</v>
      </c>
      <c r="B214" s="15">
        <v>1883.800049</v>
      </c>
      <c r="C214" s="15">
        <v>1889.599976</v>
      </c>
      <c r="D214" s="15">
        <v>1857.150024</v>
      </c>
      <c r="E214" s="15">
        <v>1861.099976</v>
      </c>
      <c r="F214" s="15">
        <v>1774.558716</v>
      </c>
      <c r="G214" s="15">
        <v>5472024.0</v>
      </c>
      <c r="H214" s="19">
        <f t="shared" si="1"/>
        <v>-0.01160411884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>
        <v>44657.0</v>
      </c>
      <c r="B215" s="15">
        <v>1855.0</v>
      </c>
      <c r="C215" s="15">
        <v>1857.5</v>
      </c>
      <c r="D215" s="15">
        <v>1822.150024</v>
      </c>
      <c r="E215" s="15">
        <v>1828.849976</v>
      </c>
      <c r="F215" s="15">
        <v>1743.808472</v>
      </c>
      <c r="G215" s="15">
        <v>5407453.0</v>
      </c>
      <c r="H215" s="19">
        <f t="shared" si="1"/>
        <v>-0.01732846189</v>
      </c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>
        <v>44658.0</v>
      </c>
      <c r="B216" s="15">
        <v>1821.050049</v>
      </c>
      <c r="C216" s="15">
        <v>1828.150024</v>
      </c>
      <c r="D216" s="15">
        <v>1807.550049</v>
      </c>
      <c r="E216" s="15">
        <v>1811.0</v>
      </c>
      <c r="F216" s="15">
        <v>1726.78833</v>
      </c>
      <c r="G216" s="15">
        <v>5797544.0</v>
      </c>
      <c r="H216" s="19">
        <f t="shared" si="1"/>
        <v>-0.009760218845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>
        <v>44659.0</v>
      </c>
      <c r="B217" s="15">
        <v>1823.0</v>
      </c>
      <c r="C217" s="15">
        <v>1838.0</v>
      </c>
      <c r="D217" s="15">
        <v>1808.0</v>
      </c>
      <c r="E217" s="15">
        <v>1814.599976</v>
      </c>
      <c r="F217" s="15">
        <v>1730.220947</v>
      </c>
      <c r="G217" s="15">
        <v>5131446.0</v>
      </c>
      <c r="H217" s="19">
        <f t="shared" si="1"/>
        <v>0.001987838763</v>
      </c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>
        <v>44662.0</v>
      </c>
      <c r="B218" s="15">
        <v>1814.0</v>
      </c>
      <c r="C218" s="15">
        <v>1814.0</v>
      </c>
      <c r="D218" s="15">
        <v>1762.550049</v>
      </c>
      <c r="E218" s="15">
        <v>1766.550049</v>
      </c>
      <c r="F218" s="15">
        <v>1684.405396</v>
      </c>
      <c r="G218" s="15">
        <v>8248407.0</v>
      </c>
      <c r="H218" s="19">
        <f t="shared" si="1"/>
        <v>-0.02647962506</v>
      </c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>
        <v>44663.0</v>
      </c>
      <c r="B219" s="15">
        <v>1757.5</v>
      </c>
      <c r="C219" s="15">
        <v>1757.5</v>
      </c>
      <c r="D219" s="15">
        <v>1727.75</v>
      </c>
      <c r="E219" s="15">
        <v>1742.449951</v>
      </c>
      <c r="F219" s="15">
        <v>1661.425903</v>
      </c>
      <c r="G219" s="15">
        <v>6456184.0</v>
      </c>
      <c r="H219" s="19">
        <f t="shared" si="1"/>
        <v>-0.01364246544</v>
      </c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>
        <v>44664.0</v>
      </c>
      <c r="B220" s="15">
        <v>1754.949951</v>
      </c>
      <c r="C220" s="15">
        <v>1757.5</v>
      </c>
      <c r="D220" s="15">
        <v>1732.0</v>
      </c>
      <c r="E220" s="15">
        <v>1748.550049</v>
      </c>
      <c r="F220" s="15">
        <v>1667.24231</v>
      </c>
      <c r="G220" s="15">
        <v>6257693.0</v>
      </c>
      <c r="H220" s="19">
        <f t="shared" si="1"/>
        <v>0.003500874155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>
        <v>44669.0</v>
      </c>
      <c r="B221" s="15">
        <v>1605.5</v>
      </c>
      <c r="C221" s="15">
        <v>1650.0</v>
      </c>
      <c r="D221" s="15">
        <v>1590.0</v>
      </c>
      <c r="E221" s="15">
        <v>1621.400024</v>
      </c>
      <c r="F221" s="15">
        <v>1546.004883</v>
      </c>
      <c r="G221" s="15">
        <v>3.0523965E7</v>
      </c>
      <c r="H221" s="19">
        <f t="shared" si="1"/>
        <v>-0.07271740667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>
        <v>44670.0</v>
      </c>
      <c r="B222" s="15">
        <v>1636.650024</v>
      </c>
      <c r="C222" s="15">
        <v>1636.650024</v>
      </c>
      <c r="D222" s="15">
        <v>1550.0</v>
      </c>
      <c r="E222" s="15">
        <v>1562.0</v>
      </c>
      <c r="F222" s="15">
        <v>1489.366943</v>
      </c>
      <c r="G222" s="15">
        <v>1.7044923E7</v>
      </c>
      <c r="H222" s="19">
        <f t="shared" si="1"/>
        <v>-0.03663502104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>
        <v>44671.0</v>
      </c>
      <c r="B223" s="15">
        <v>1575.0</v>
      </c>
      <c r="C223" s="15">
        <v>1596.300049</v>
      </c>
      <c r="D223" s="15">
        <v>1563.0</v>
      </c>
      <c r="E223" s="15">
        <v>1587.699951</v>
      </c>
      <c r="F223" s="15">
        <v>1513.871704</v>
      </c>
      <c r="G223" s="15">
        <v>1.0678747E7</v>
      </c>
      <c r="H223" s="19">
        <f t="shared" si="1"/>
        <v>0.01645323367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>
        <v>44672.0</v>
      </c>
      <c r="B224" s="15">
        <v>1595.0</v>
      </c>
      <c r="C224" s="15">
        <v>1627.199951</v>
      </c>
      <c r="D224" s="15">
        <v>1589.25</v>
      </c>
      <c r="E224" s="15">
        <v>1618.800049</v>
      </c>
      <c r="F224" s="15">
        <v>1543.525635</v>
      </c>
      <c r="G224" s="15">
        <v>7766514.0</v>
      </c>
      <c r="H224" s="19">
        <f t="shared" si="1"/>
        <v>0.01958814572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>
        <v>44673.0</v>
      </c>
      <c r="B225" s="15">
        <v>1604.349976</v>
      </c>
      <c r="C225" s="15">
        <v>1610.699951</v>
      </c>
      <c r="D225" s="15">
        <v>1582.400024</v>
      </c>
      <c r="E225" s="15">
        <v>1585.449951</v>
      </c>
      <c r="F225" s="15">
        <v>1511.72644</v>
      </c>
      <c r="G225" s="15">
        <v>8134245.0</v>
      </c>
      <c r="H225" s="19">
        <f t="shared" si="1"/>
        <v>-0.02060174017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>
        <v>44676.0</v>
      </c>
      <c r="B226" s="15">
        <v>1572.800049</v>
      </c>
      <c r="C226" s="15">
        <v>1572.800049</v>
      </c>
      <c r="D226" s="15">
        <v>1554.099976</v>
      </c>
      <c r="E226" s="15">
        <v>1561.099976</v>
      </c>
      <c r="F226" s="15">
        <v>1488.508789</v>
      </c>
      <c r="G226" s="15">
        <v>7000570.0</v>
      </c>
      <c r="H226" s="19">
        <f t="shared" si="1"/>
        <v>-0.0153584003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>
        <v>44677.0</v>
      </c>
      <c r="B227" s="15">
        <v>1577.199951</v>
      </c>
      <c r="C227" s="15">
        <v>1592.0</v>
      </c>
      <c r="D227" s="15">
        <v>1566.550049</v>
      </c>
      <c r="E227" s="15">
        <v>1581.0</v>
      </c>
      <c r="F227" s="15">
        <v>1507.483398</v>
      </c>
      <c r="G227" s="15">
        <v>5345435.0</v>
      </c>
      <c r="H227" s="19">
        <f t="shared" si="1"/>
        <v>0.01274743726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>
        <v>44678.0</v>
      </c>
      <c r="B228" s="15">
        <v>1572.75</v>
      </c>
      <c r="C228" s="15">
        <v>1572.75</v>
      </c>
      <c r="D228" s="15">
        <v>1550.349976</v>
      </c>
      <c r="E228" s="15">
        <v>1552.800049</v>
      </c>
      <c r="F228" s="15">
        <v>1480.594727</v>
      </c>
      <c r="G228" s="15">
        <v>8819356.0</v>
      </c>
      <c r="H228" s="19">
        <f t="shared" si="1"/>
        <v>-0.01783678115</v>
      </c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>
        <v>44679.0</v>
      </c>
      <c r="B229" s="15">
        <v>1570.0</v>
      </c>
      <c r="C229" s="15">
        <v>1601.800049</v>
      </c>
      <c r="D229" s="15">
        <v>1557.449951</v>
      </c>
      <c r="E229" s="15">
        <v>1582.599976</v>
      </c>
      <c r="F229" s="15">
        <v>1509.008911</v>
      </c>
      <c r="G229" s="15">
        <v>9245177.0</v>
      </c>
      <c r="H229" s="19">
        <f t="shared" si="1"/>
        <v>0.01919109097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>
        <v>44680.0</v>
      </c>
      <c r="B230" s="15">
        <v>1590.0</v>
      </c>
      <c r="C230" s="15">
        <v>1597.300049</v>
      </c>
      <c r="D230" s="15">
        <v>1560.800049</v>
      </c>
      <c r="E230" s="15">
        <v>1567.550049</v>
      </c>
      <c r="F230" s="15">
        <v>1494.658936</v>
      </c>
      <c r="G230" s="15">
        <v>9831395.0</v>
      </c>
      <c r="H230" s="19">
        <f t="shared" si="1"/>
        <v>-0.009509621653</v>
      </c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>
        <v>44683.0</v>
      </c>
      <c r="B231" s="15">
        <v>1550.900024</v>
      </c>
      <c r="C231" s="15">
        <v>1552.75</v>
      </c>
      <c r="D231" s="15">
        <v>1531.0</v>
      </c>
      <c r="E231" s="15">
        <v>1541.0</v>
      </c>
      <c r="F231" s="15">
        <v>1469.343384</v>
      </c>
      <c r="G231" s="15">
        <v>7072627.0</v>
      </c>
      <c r="H231" s="19">
        <f t="shared" si="1"/>
        <v>-0.01693728951</v>
      </c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>
        <v>44685.0</v>
      </c>
      <c r="B232" s="15">
        <v>1547.25</v>
      </c>
      <c r="C232" s="15">
        <v>1570.0</v>
      </c>
      <c r="D232" s="15">
        <v>1530.150024</v>
      </c>
      <c r="E232" s="15">
        <v>1535.550049</v>
      </c>
      <c r="F232" s="15">
        <v>1464.146851</v>
      </c>
      <c r="G232" s="15">
        <v>6220959.0</v>
      </c>
      <c r="H232" s="19">
        <f t="shared" si="1"/>
        <v>-0.003536632706</v>
      </c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>
        <v>44686.0</v>
      </c>
      <c r="B233" s="15">
        <v>1560.050049</v>
      </c>
      <c r="C233" s="15">
        <v>1589.400024</v>
      </c>
      <c r="D233" s="15">
        <v>1557.449951</v>
      </c>
      <c r="E233" s="15">
        <v>1585.150024</v>
      </c>
      <c r="F233" s="15">
        <v>1511.440308</v>
      </c>
      <c r="G233" s="15">
        <v>6144870.0</v>
      </c>
      <c r="H233" s="19">
        <f t="shared" si="1"/>
        <v>0.03230111258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>
        <v>44687.0</v>
      </c>
      <c r="B234" s="15">
        <v>1550.0</v>
      </c>
      <c r="C234" s="15">
        <v>1561.849976</v>
      </c>
      <c r="D234" s="15">
        <v>1535.050049</v>
      </c>
      <c r="E234" s="15">
        <v>1542.849976</v>
      </c>
      <c r="F234" s="15">
        <v>1471.107422</v>
      </c>
      <c r="G234" s="15">
        <v>6171472.0</v>
      </c>
      <c r="H234" s="19">
        <f t="shared" si="1"/>
        <v>-0.02668520163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>
        <v>44690.0</v>
      </c>
      <c r="B235" s="15">
        <v>1540.0</v>
      </c>
      <c r="C235" s="15">
        <v>1586.800049</v>
      </c>
      <c r="D235" s="15">
        <v>1522.150024</v>
      </c>
      <c r="E235" s="15">
        <v>1570.349976</v>
      </c>
      <c r="F235" s="15">
        <v>1497.328613</v>
      </c>
      <c r="G235" s="15">
        <v>6832202.0</v>
      </c>
      <c r="H235" s="19">
        <f t="shared" si="1"/>
        <v>0.01782415687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>
        <v>44691.0</v>
      </c>
      <c r="B236" s="15">
        <v>1558.0</v>
      </c>
      <c r="C236" s="15">
        <v>1569.150024</v>
      </c>
      <c r="D236" s="15">
        <v>1546.050049</v>
      </c>
      <c r="E236" s="15">
        <v>1553.0</v>
      </c>
      <c r="F236" s="15">
        <v>1480.7854</v>
      </c>
      <c r="G236" s="15">
        <v>6212545.0</v>
      </c>
      <c r="H236" s="19">
        <f t="shared" si="1"/>
        <v>-0.01104847726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>
        <v>44692.0</v>
      </c>
      <c r="B237" s="15">
        <v>1549.949951</v>
      </c>
      <c r="C237" s="15">
        <v>1549.949951</v>
      </c>
      <c r="D237" s="15">
        <v>1511.599976</v>
      </c>
      <c r="E237" s="15">
        <v>1526.75</v>
      </c>
      <c r="F237" s="15">
        <v>1455.755981</v>
      </c>
      <c r="G237" s="15">
        <v>7846080.0</v>
      </c>
      <c r="H237" s="19">
        <f t="shared" si="1"/>
        <v>-0.01690276883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>
        <v>44693.0</v>
      </c>
      <c r="B238" s="15">
        <v>1514.0</v>
      </c>
      <c r="C238" s="15">
        <v>1527.5</v>
      </c>
      <c r="D238" s="15">
        <v>1504.300049</v>
      </c>
      <c r="E238" s="15">
        <v>1508.800049</v>
      </c>
      <c r="F238" s="15">
        <v>1438.640869</v>
      </c>
      <c r="G238" s="15">
        <v>7034979.0</v>
      </c>
      <c r="H238" s="19">
        <f t="shared" si="1"/>
        <v>-0.01175696807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>
        <v>44694.0</v>
      </c>
      <c r="B239" s="15">
        <v>1519.300049</v>
      </c>
      <c r="C239" s="15">
        <v>1529.25</v>
      </c>
      <c r="D239" s="15">
        <v>1498.099976</v>
      </c>
      <c r="E239" s="15">
        <v>1504.400024</v>
      </c>
      <c r="F239" s="15">
        <v>1434.445435</v>
      </c>
      <c r="G239" s="15">
        <v>6723761.0</v>
      </c>
      <c r="H239" s="19">
        <f t="shared" si="1"/>
        <v>-0.002916241289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>
        <v>44697.0</v>
      </c>
      <c r="B240" s="15">
        <v>1510.0</v>
      </c>
      <c r="C240" s="15">
        <v>1511.849976</v>
      </c>
      <c r="D240" s="15">
        <v>1478.650024</v>
      </c>
      <c r="E240" s="15">
        <v>1489.099976</v>
      </c>
      <c r="F240" s="15">
        <v>1419.856689</v>
      </c>
      <c r="G240" s="15">
        <v>6145331.0</v>
      </c>
      <c r="H240" s="19">
        <f t="shared" si="1"/>
        <v>-0.01017019925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>
        <v>44698.0</v>
      </c>
      <c r="B241" s="15">
        <v>1494.900024</v>
      </c>
      <c r="C241" s="15">
        <v>1525.0</v>
      </c>
      <c r="D241" s="15">
        <v>1480.900024</v>
      </c>
      <c r="E241" s="15">
        <v>1518.449951</v>
      </c>
      <c r="F241" s="15">
        <v>1447.841797</v>
      </c>
      <c r="G241" s="15">
        <v>6516378.0</v>
      </c>
      <c r="H241" s="19">
        <f t="shared" si="1"/>
        <v>0.01970987541</v>
      </c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>
        <v>44699.0</v>
      </c>
      <c r="B242" s="15">
        <v>1522.0</v>
      </c>
      <c r="C242" s="15">
        <v>1549.699951</v>
      </c>
      <c r="D242" s="15">
        <v>1505.300049</v>
      </c>
      <c r="E242" s="15">
        <v>1509.199951</v>
      </c>
      <c r="F242" s="15">
        <v>1439.021973</v>
      </c>
      <c r="G242" s="15">
        <v>6594126.0</v>
      </c>
      <c r="H242" s="19">
        <f t="shared" si="1"/>
        <v>-0.006091738482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>
        <v>44700.0</v>
      </c>
      <c r="B243" s="15">
        <v>1481.0</v>
      </c>
      <c r="C243" s="15">
        <v>1484.699951</v>
      </c>
      <c r="D243" s="15">
        <v>1417.650024</v>
      </c>
      <c r="E243" s="15">
        <v>1427.150024</v>
      </c>
      <c r="F243" s="15">
        <v>1360.787476</v>
      </c>
      <c r="G243" s="15">
        <v>1.656114E7</v>
      </c>
      <c r="H243" s="19">
        <f t="shared" si="1"/>
        <v>-0.05436650521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>
        <v>44701.0</v>
      </c>
      <c r="B244" s="15">
        <v>1453.0</v>
      </c>
      <c r="C244" s="15">
        <v>1466.75</v>
      </c>
      <c r="D244" s="15">
        <v>1446.699951</v>
      </c>
      <c r="E244" s="15">
        <v>1455.150024</v>
      </c>
      <c r="F244" s="15">
        <v>1387.485596</v>
      </c>
      <c r="G244" s="15">
        <v>1.0488908E7</v>
      </c>
      <c r="H244" s="19">
        <f t="shared" si="1"/>
        <v>0.01961952109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>
        <v>44704.0</v>
      </c>
      <c r="B245" s="15">
        <v>1455.099976</v>
      </c>
      <c r="C245" s="15">
        <v>1488.0</v>
      </c>
      <c r="D245" s="15">
        <v>1450.050049</v>
      </c>
      <c r="E245" s="15">
        <v>1468.400024</v>
      </c>
      <c r="F245" s="15">
        <v>1400.119263</v>
      </c>
      <c r="G245" s="15">
        <v>5887569.0</v>
      </c>
      <c r="H245" s="19">
        <f t="shared" si="1"/>
        <v>0.009105590339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>
        <v>44705.0</v>
      </c>
      <c r="B246" s="15">
        <v>1468.599976</v>
      </c>
      <c r="C246" s="15">
        <v>1469.550049</v>
      </c>
      <c r="D246" s="15">
        <v>1435.25</v>
      </c>
      <c r="E246" s="15">
        <v>1441.0</v>
      </c>
      <c r="F246" s="15">
        <v>1373.993408</v>
      </c>
      <c r="G246" s="15">
        <v>5693167.0</v>
      </c>
      <c r="H246" s="19">
        <f t="shared" si="1"/>
        <v>-0.01865978177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>
        <v>44706.0</v>
      </c>
      <c r="B247" s="15">
        <v>1435.0</v>
      </c>
      <c r="C247" s="15">
        <v>1442.5</v>
      </c>
      <c r="D247" s="15">
        <v>1399.25</v>
      </c>
      <c r="E247" s="15">
        <v>1410.449951</v>
      </c>
      <c r="F247" s="15">
        <v>1344.863892</v>
      </c>
      <c r="G247" s="15">
        <v>9630092.0</v>
      </c>
      <c r="H247" s="19">
        <f t="shared" si="1"/>
        <v>-0.02120058917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>
        <v>44707.0</v>
      </c>
      <c r="B248" s="15">
        <v>1418.0</v>
      </c>
      <c r="C248" s="15">
        <v>1430.0</v>
      </c>
      <c r="D248" s="15">
        <v>1407.050049</v>
      </c>
      <c r="E248" s="15">
        <v>1423.949951</v>
      </c>
      <c r="F248" s="15">
        <v>1357.736084</v>
      </c>
      <c r="G248" s="15">
        <v>1.3040065E7</v>
      </c>
      <c r="H248" s="19">
        <f t="shared" si="1"/>
        <v>0.009571413711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>
        <v>44708.0</v>
      </c>
      <c r="B249" s="15">
        <v>1443.949951</v>
      </c>
      <c r="C249" s="15">
        <v>1467.0</v>
      </c>
      <c r="D249" s="15">
        <v>1437.400024</v>
      </c>
      <c r="E249" s="15">
        <v>1461.349976</v>
      </c>
      <c r="F249" s="15">
        <v>1393.397095</v>
      </c>
      <c r="G249" s="15">
        <v>8284860.0</v>
      </c>
      <c r="H249" s="19">
        <f t="shared" si="1"/>
        <v>0.02626498563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>
        <v>44711.0</v>
      </c>
      <c r="B250" s="15">
        <v>1487.0</v>
      </c>
      <c r="C250" s="15">
        <v>1530.0</v>
      </c>
      <c r="D250" s="15">
        <v>1485.0</v>
      </c>
      <c r="E250" s="15">
        <v>1526.800049</v>
      </c>
      <c r="F250" s="15">
        <v>1455.803711</v>
      </c>
      <c r="G250" s="15">
        <v>1.0904213E7</v>
      </c>
      <c r="H250" s="19">
        <f t="shared" si="1"/>
        <v>0.04478740485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>
        <v>44712.0</v>
      </c>
      <c r="B251" s="15">
        <v>1510.699951</v>
      </c>
      <c r="C251" s="15">
        <v>1518.0</v>
      </c>
      <c r="D251" s="15">
        <v>1488.150024</v>
      </c>
      <c r="E251" s="15">
        <v>1503.599976</v>
      </c>
      <c r="F251" s="15">
        <v>1448.865845</v>
      </c>
      <c r="G251" s="15">
        <v>1.6033857E7</v>
      </c>
      <c r="H251" s="19">
        <f t="shared" si="1"/>
        <v>-0.01519522679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>
        <v>44713.0</v>
      </c>
      <c r="B252" s="15">
        <v>1513.0</v>
      </c>
      <c r="C252" s="15">
        <v>1514.75</v>
      </c>
      <c r="D252" s="15">
        <v>1472.099976</v>
      </c>
      <c r="E252" s="15">
        <v>1478.550049</v>
      </c>
      <c r="F252" s="15">
        <v>1424.727783</v>
      </c>
      <c r="G252" s="15">
        <v>8738508.0</v>
      </c>
      <c r="H252" s="19">
        <f t="shared" si="1"/>
        <v>-0.01665996768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>
        <v>44714.0</v>
      </c>
      <c r="B253" s="15">
        <v>1484.0</v>
      </c>
      <c r="C253" s="15">
        <v>1513.849976</v>
      </c>
      <c r="D253" s="15">
        <v>1475.599976</v>
      </c>
      <c r="E253" s="15">
        <v>1508.0</v>
      </c>
      <c r="F253" s="15">
        <v>1453.105713</v>
      </c>
      <c r="G253" s="15">
        <v>7205840.0</v>
      </c>
      <c r="H253" s="19">
        <f t="shared" si="1"/>
        <v>0.01991812926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>
        <v>44715.0</v>
      </c>
      <c r="B254" s="15">
        <v>1524.900024</v>
      </c>
      <c r="C254" s="15">
        <v>1555.0</v>
      </c>
      <c r="D254" s="15">
        <v>1518.0</v>
      </c>
      <c r="E254" s="15">
        <v>1521.699951</v>
      </c>
      <c r="F254" s="15">
        <v>1466.306885</v>
      </c>
      <c r="G254" s="15">
        <v>9395707.0</v>
      </c>
      <c r="H254" s="19">
        <f t="shared" si="1"/>
        <v>0.009084848143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>
        <v>44718.0</v>
      </c>
      <c r="B255" s="15">
        <v>1516.0</v>
      </c>
      <c r="C255" s="15">
        <v>1536.599976</v>
      </c>
      <c r="D255" s="15">
        <v>1493.0</v>
      </c>
      <c r="E255" s="15">
        <v>1530.050049</v>
      </c>
      <c r="F255" s="15">
        <v>1474.353027</v>
      </c>
      <c r="G255" s="15">
        <v>6624883.0</v>
      </c>
      <c r="H255" s="19">
        <f t="shared" si="1"/>
        <v>0.005487348537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>
        <v>44719.0</v>
      </c>
      <c r="B256" s="15">
        <v>1519.849976</v>
      </c>
      <c r="C256" s="15">
        <v>1519.849976</v>
      </c>
      <c r="D256" s="15">
        <v>1502.599976</v>
      </c>
      <c r="E256" s="15">
        <v>1506.699951</v>
      </c>
      <c r="F256" s="15">
        <v>1451.853027</v>
      </c>
      <c r="G256" s="15">
        <v>4904592.0</v>
      </c>
      <c r="H256" s="19">
        <f t="shared" si="1"/>
        <v>-0.01526100275</v>
      </c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>
        <v>44720.0</v>
      </c>
      <c r="B257" s="15">
        <v>1520.199951</v>
      </c>
      <c r="C257" s="15">
        <v>1520.199951</v>
      </c>
      <c r="D257" s="15">
        <v>1492.0</v>
      </c>
      <c r="E257" s="15">
        <v>1500.0</v>
      </c>
      <c r="F257" s="15">
        <v>1445.396851</v>
      </c>
      <c r="G257" s="15">
        <v>4697608.0</v>
      </c>
      <c r="H257" s="19">
        <f t="shared" si="1"/>
        <v>-0.004446771897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>
        <v>44721.0</v>
      </c>
      <c r="B258" s="15">
        <v>1485.0</v>
      </c>
      <c r="C258" s="15">
        <v>1516.949951</v>
      </c>
      <c r="D258" s="15">
        <v>1481.5</v>
      </c>
      <c r="E258" s="15">
        <v>1515.0</v>
      </c>
      <c r="F258" s="15">
        <v>1459.85083</v>
      </c>
      <c r="G258" s="15">
        <v>4361061.0</v>
      </c>
      <c r="H258" s="19">
        <f t="shared" si="1"/>
        <v>0.01</v>
      </c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>
        <v>44722.0</v>
      </c>
      <c r="B259" s="15">
        <v>1486.099976</v>
      </c>
      <c r="C259" s="15">
        <v>1493.949951</v>
      </c>
      <c r="D259" s="15">
        <v>1473.599976</v>
      </c>
      <c r="E259" s="15">
        <v>1476.800049</v>
      </c>
      <c r="F259" s="15">
        <v>1423.041382</v>
      </c>
      <c r="G259" s="15">
        <v>6516436.0</v>
      </c>
      <c r="H259" s="19">
        <f t="shared" si="1"/>
        <v>-0.02521448911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>
        <v>44725.0</v>
      </c>
      <c r="B260" s="15">
        <v>1443.599976</v>
      </c>
      <c r="C260" s="15">
        <v>1443.599976</v>
      </c>
      <c r="D260" s="15">
        <v>1411.699951</v>
      </c>
      <c r="E260" s="15">
        <v>1424.5</v>
      </c>
      <c r="F260" s="15">
        <v>1372.645264</v>
      </c>
      <c r="G260" s="15">
        <v>6987685.0</v>
      </c>
      <c r="H260" s="19">
        <f t="shared" si="1"/>
        <v>-0.03541444154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>
        <v>44726.0</v>
      </c>
      <c r="B261" s="15">
        <v>1410.0</v>
      </c>
      <c r="C261" s="15">
        <v>1448.900024</v>
      </c>
      <c r="D261" s="15">
        <v>1403.150024</v>
      </c>
      <c r="E261" s="15">
        <v>1440.550049</v>
      </c>
      <c r="F261" s="15">
        <v>1388.111084</v>
      </c>
      <c r="G261" s="15">
        <v>6090247.0</v>
      </c>
      <c r="H261" s="19">
        <f t="shared" si="1"/>
        <v>0.01126714567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>
        <v>44727.0</v>
      </c>
      <c r="B262" s="15">
        <v>1440.199951</v>
      </c>
      <c r="C262" s="15">
        <v>1446.400024</v>
      </c>
      <c r="D262" s="15">
        <v>1418.849976</v>
      </c>
      <c r="E262" s="15">
        <v>1422.199951</v>
      </c>
      <c r="F262" s="15">
        <v>1370.428955</v>
      </c>
      <c r="G262" s="15">
        <v>4651958.0</v>
      </c>
      <c r="H262" s="19">
        <f t="shared" si="1"/>
        <v>-0.01273825787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>
        <v>44728.0</v>
      </c>
      <c r="B263" s="15">
        <v>1438.0</v>
      </c>
      <c r="C263" s="15">
        <v>1443.75</v>
      </c>
      <c r="D263" s="15">
        <v>1392.0</v>
      </c>
      <c r="E263" s="15">
        <v>1397.199951</v>
      </c>
      <c r="F263" s="15">
        <v>1346.338989</v>
      </c>
      <c r="G263" s="15">
        <v>6641772.0</v>
      </c>
      <c r="H263" s="19">
        <f t="shared" si="1"/>
        <v>-0.01757840027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>
        <v>44729.0</v>
      </c>
      <c r="B264" s="15">
        <v>1391.050049</v>
      </c>
      <c r="C264" s="15">
        <v>1396.949951</v>
      </c>
      <c r="D264" s="15">
        <v>1367.150024</v>
      </c>
      <c r="E264" s="15">
        <v>1387.300049</v>
      </c>
      <c r="F264" s="15">
        <v>1336.799316</v>
      </c>
      <c r="G264" s="15">
        <v>9692047.0</v>
      </c>
      <c r="H264" s="19">
        <f t="shared" si="1"/>
        <v>-0.007085529879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>
        <v>44732.0</v>
      </c>
      <c r="B265" s="15">
        <v>1390.050049</v>
      </c>
      <c r="C265" s="15">
        <v>1422.349976</v>
      </c>
      <c r="D265" s="15">
        <v>1382.0</v>
      </c>
      <c r="E265" s="15">
        <v>1414.150024</v>
      </c>
      <c r="F265" s="15">
        <v>1362.671997</v>
      </c>
      <c r="G265" s="15">
        <v>4595194.0</v>
      </c>
      <c r="H265" s="19">
        <f t="shared" si="1"/>
        <v>0.01935412243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>
        <v>44733.0</v>
      </c>
      <c r="B266" s="15">
        <v>1424.0</v>
      </c>
      <c r="C266" s="15">
        <v>1456.0</v>
      </c>
      <c r="D266" s="15">
        <v>1422.75</v>
      </c>
      <c r="E266" s="15">
        <v>1449.900024</v>
      </c>
      <c r="F266" s="15">
        <v>1397.120605</v>
      </c>
      <c r="G266" s="15">
        <v>6270787.0</v>
      </c>
      <c r="H266" s="19">
        <f t="shared" si="1"/>
        <v>0.02528020323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>
        <v>44734.0</v>
      </c>
      <c r="B267" s="15">
        <v>1436.050049</v>
      </c>
      <c r="C267" s="15">
        <v>1459.599976</v>
      </c>
      <c r="D267" s="15">
        <v>1435.0</v>
      </c>
      <c r="E267" s="15">
        <v>1437.25</v>
      </c>
      <c r="F267" s="15">
        <v>1384.931152</v>
      </c>
      <c r="G267" s="15">
        <v>6253366.0</v>
      </c>
      <c r="H267" s="19">
        <f t="shared" si="1"/>
        <v>-0.008724756046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>
        <v>44735.0</v>
      </c>
      <c r="B268" s="15">
        <v>1439.800049</v>
      </c>
      <c r="C268" s="15">
        <v>1458.0</v>
      </c>
      <c r="D268" s="15">
        <v>1433.0</v>
      </c>
      <c r="E268" s="15">
        <v>1452.449951</v>
      </c>
      <c r="F268" s="15">
        <v>1399.577759</v>
      </c>
      <c r="G268" s="15">
        <v>6254281.0</v>
      </c>
      <c r="H268" s="19">
        <f t="shared" si="1"/>
        <v>0.01057571821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>
        <v>44736.0</v>
      </c>
      <c r="B269" s="15">
        <v>1458.0</v>
      </c>
      <c r="C269" s="15">
        <v>1467.5</v>
      </c>
      <c r="D269" s="15">
        <v>1428.900024</v>
      </c>
      <c r="E269" s="15">
        <v>1441.099976</v>
      </c>
      <c r="F269" s="15">
        <v>1388.640869</v>
      </c>
      <c r="G269" s="15">
        <v>6114340.0</v>
      </c>
      <c r="H269" s="19">
        <f t="shared" si="1"/>
        <v>-0.007814365646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>
        <v>44739.0</v>
      </c>
      <c r="B270" s="15">
        <v>1468.050049</v>
      </c>
      <c r="C270" s="15">
        <v>1484.0</v>
      </c>
      <c r="D270" s="15">
        <v>1465.150024</v>
      </c>
      <c r="E270" s="15">
        <v>1474.599976</v>
      </c>
      <c r="F270" s="15">
        <v>1420.921509</v>
      </c>
      <c r="G270" s="15">
        <v>4511097.0</v>
      </c>
      <c r="H270" s="19">
        <f t="shared" si="1"/>
        <v>0.02324613181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>
        <v>44740.0</v>
      </c>
      <c r="B271" s="15">
        <v>1469.0</v>
      </c>
      <c r="C271" s="15">
        <v>1488.25</v>
      </c>
      <c r="D271" s="15">
        <v>1453.0</v>
      </c>
      <c r="E271" s="15">
        <v>1480.150024</v>
      </c>
      <c r="F271" s="15">
        <v>1426.269409</v>
      </c>
      <c r="G271" s="15">
        <v>4412178.0</v>
      </c>
      <c r="H271" s="19">
        <f t="shared" si="1"/>
        <v>0.00376376515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>
        <v>44741.0</v>
      </c>
      <c r="B272" s="15">
        <v>1464.699951</v>
      </c>
      <c r="C272" s="15">
        <v>1477.0</v>
      </c>
      <c r="D272" s="15">
        <v>1457.0</v>
      </c>
      <c r="E272" s="15">
        <v>1463.25</v>
      </c>
      <c r="F272" s="15">
        <v>1409.984741</v>
      </c>
      <c r="G272" s="15">
        <v>5060038.0</v>
      </c>
      <c r="H272" s="19">
        <f t="shared" si="1"/>
        <v>-0.01141777774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>
        <v>44742.0</v>
      </c>
      <c r="B273" s="15">
        <v>1465.050049</v>
      </c>
      <c r="C273" s="15">
        <v>1482.0</v>
      </c>
      <c r="D273" s="15">
        <v>1455.0</v>
      </c>
      <c r="E273" s="15">
        <v>1461.900024</v>
      </c>
      <c r="F273" s="15">
        <v>1408.683838</v>
      </c>
      <c r="G273" s="15">
        <v>9165177.0</v>
      </c>
      <c r="H273" s="19">
        <f t="shared" si="1"/>
        <v>-0.0009225873911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>
        <v>44743.0</v>
      </c>
      <c r="B274" s="15">
        <v>1454.0</v>
      </c>
      <c r="C274" s="15">
        <v>1485.0</v>
      </c>
      <c r="D274" s="15">
        <v>1442.349976</v>
      </c>
      <c r="E274" s="15">
        <v>1479.400024</v>
      </c>
      <c r="F274" s="15">
        <v>1425.546753</v>
      </c>
      <c r="G274" s="15">
        <v>4651635.0</v>
      </c>
      <c r="H274" s="19">
        <f t="shared" si="1"/>
        <v>0.01197072284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>
        <v>44746.0</v>
      </c>
      <c r="B275" s="15">
        <v>1480.25</v>
      </c>
      <c r="C275" s="15">
        <v>1492.25</v>
      </c>
      <c r="D275" s="15">
        <v>1462.0</v>
      </c>
      <c r="E275" s="15">
        <v>1488.0</v>
      </c>
      <c r="F275" s="15">
        <v>1433.83374</v>
      </c>
      <c r="G275" s="15">
        <v>4800224.0</v>
      </c>
      <c r="H275" s="19">
        <f t="shared" si="1"/>
        <v>0.005813151183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>
        <v>44747.0</v>
      </c>
      <c r="B276" s="15">
        <v>1498.800049</v>
      </c>
      <c r="C276" s="15">
        <v>1509.949951</v>
      </c>
      <c r="D276" s="15">
        <v>1472.0</v>
      </c>
      <c r="E276" s="15">
        <v>1475.949951</v>
      </c>
      <c r="F276" s="15">
        <v>1422.222412</v>
      </c>
      <c r="G276" s="15">
        <v>7379669.0</v>
      </c>
      <c r="H276" s="19">
        <f t="shared" si="1"/>
        <v>-0.00809815121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>
        <v>44748.0</v>
      </c>
      <c r="B277" s="15">
        <v>1482.199951</v>
      </c>
      <c r="C277" s="15">
        <v>1500.0</v>
      </c>
      <c r="D277" s="15">
        <v>1470.0</v>
      </c>
      <c r="E277" s="15">
        <v>1491.650024</v>
      </c>
      <c r="F277" s="15">
        <v>1437.35083</v>
      </c>
      <c r="G277" s="15">
        <v>5209162.0</v>
      </c>
      <c r="H277" s="19">
        <f t="shared" si="1"/>
        <v>0.01063726652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>
        <v>44749.0</v>
      </c>
      <c r="B278" s="15">
        <v>1503.050049</v>
      </c>
      <c r="C278" s="15">
        <v>1513.949951</v>
      </c>
      <c r="D278" s="15">
        <v>1495.699951</v>
      </c>
      <c r="E278" s="15">
        <v>1498.699951</v>
      </c>
      <c r="F278" s="15">
        <v>1444.144165</v>
      </c>
      <c r="G278" s="15">
        <v>3323472.0</v>
      </c>
      <c r="H278" s="19">
        <f t="shared" si="1"/>
        <v>0.004726260776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>
        <v>44750.0</v>
      </c>
      <c r="B279" s="15">
        <v>1515.0</v>
      </c>
      <c r="C279" s="15">
        <v>1516.949951</v>
      </c>
      <c r="D279" s="15">
        <v>1499.949951</v>
      </c>
      <c r="E279" s="15">
        <v>1514.449951</v>
      </c>
      <c r="F279" s="15">
        <v>1459.320801</v>
      </c>
      <c r="G279" s="15">
        <v>3652582.0</v>
      </c>
      <c r="H279" s="19">
        <f t="shared" si="1"/>
        <v>0.01050910824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>
        <v>44753.0</v>
      </c>
      <c r="B280" s="15">
        <v>1495.0</v>
      </c>
      <c r="C280" s="15">
        <v>1499.900024</v>
      </c>
      <c r="D280" s="15">
        <v>1466.400024</v>
      </c>
      <c r="E280" s="15">
        <v>1473.150024</v>
      </c>
      <c r="F280" s="15">
        <v>1419.524292</v>
      </c>
      <c r="G280" s="15">
        <v>4702638.0</v>
      </c>
      <c r="H280" s="19">
        <f t="shared" si="1"/>
        <v>-0.02727057898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>
        <v>44754.0</v>
      </c>
      <c r="B281" s="15">
        <v>1461.800049</v>
      </c>
      <c r="C281" s="15">
        <v>1468.599976</v>
      </c>
      <c r="D281" s="15">
        <v>1436.0</v>
      </c>
      <c r="E281" s="15">
        <v>1438.599976</v>
      </c>
      <c r="F281" s="15">
        <v>1386.232056</v>
      </c>
      <c r="G281" s="15">
        <v>4710356.0</v>
      </c>
      <c r="H281" s="19">
        <f t="shared" si="1"/>
        <v>-0.02345317682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>
        <v>44755.0</v>
      </c>
      <c r="B282" s="15">
        <v>1450.0</v>
      </c>
      <c r="C282" s="15">
        <v>1460.0</v>
      </c>
      <c r="D282" s="15">
        <v>1438.599976</v>
      </c>
      <c r="E282" s="15">
        <v>1444.449951</v>
      </c>
      <c r="F282" s="15">
        <v>1391.868896</v>
      </c>
      <c r="G282" s="15">
        <v>5264025.0</v>
      </c>
      <c r="H282" s="19">
        <f t="shared" si="1"/>
        <v>0.004066436186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>
        <v>44756.0</v>
      </c>
      <c r="B283" s="15">
        <v>1451.0</v>
      </c>
      <c r="C283" s="15">
        <v>1452.949951</v>
      </c>
      <c r="D283" s="15">
        <v>1414.0</v>
      </c>
      <c r="E283" s="15">
        <v>1428.849976</v>
      </c>
      <c r="F283" s="15">
        <v>1376.836914</v>
      </c>
      <c r="G283" s="15">
        <v>6157606.0</v>
      </c>
      <c r="H283" s="19">
        <f t="shared" si="1"/>
        <v>-0.01079994152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>
        <v>44757.0</v>
      </c>
      <c r="B284" s="15">
        <v>1446.0</v>
      </c>
      <c r="C284" s="15">
        <v>1446.0</v>
      </c>
      <c r="D284" s="15">
        <v>1410.650024</v>
      </c>
      <c r="E284" s="15">
        <v>1430.349976</v>
      </c>
      <c r="F284" s="15">
        <v>1378.282349</v>
      </c>
      <c r="G284" s="15">
        <v>5620018.0</v>
      </c>
      <c r="H284" s="19">
        <f t="shared" si="1"/>
        <v>0.001049795308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>
        <v>44760.0</v>
      </c>
      <c r="B285" s="15">
        <v>1450.0</v>
      </c>
      <c r="C285" s="15">
        <v>1493.599976</v>
      </c>
      <c r="D285" s="15">
        <v>1448.050049</v>
      </c>
      <c r="E285" s="15">
        <v>1489.900024</v>
      </c>
      <c r="F285" s="15">
        <v>1435.664551</v>
      </c>
      <c r="G285" s="15">
        <v>5835171.0</v>
      </c>
      <c r="H285" s="19">
        <f t="shared" si="1"/>
        <v>0.04163320096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>
        <v>44761.0</v>
      </c>
      <c r="B286" s="15">
        <v>1471.550049</v>
      </c>
      <c r="C286" s="15">
        <v>1486.849976</v>
      </c>
      <c r="D286" s="15">
        <v>1470.099976</v>
      </c>
      <c r="E286" s="15">
        <v>1484.150024</v>
      </c>
      <c r="F286" s="15">
        <v>1430.123901</v>
      </c>
      <c r="G286" s="15">
        <v>3418540.0</v>
      </c>
      <c r="H286" s="19">
        <f t="shared" si="1"/>
        <v>-0.003859319355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>
        <v>44762.0</v>
      </c>
      <c r="B287" s="15">
        <v>1501.25</v>
      </c>
      <c r="C287" s="15">
        <v>1525.800049</v>
      </c>
      <c r="D287" s="15">
        <v>1500.0</v>
      </c>
      <c r="E287" s="15">
        <v>1515.300049</v>
      </c>
      <c r="F287" s="15">
        <v>1460.139893</v>
      </c>
      <c r="G287" s="15">
        <v>5079392.0</v>
      </c>
      <c r="H287" s="19">
        <f t="shared" si="1"/>
        <v>0.02098846107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>
        <v>44763.0</v>
      </c>
      <c r="B288" s="15">
        <v>1517.0</v>
      </c>
      <c r="C288" s="15">
        <v>1535.449951</v>
      </c>
      <c r="D288" s="15">
        <v>1503.099976</v>
      </c>
      <c r="E288" s="15">
        <v>1532.900024</v>
      </c>
      <c r="F288" s="15">
        <v>1477.099243</v>
      </c>
      <c r="G288" s="15">
        <v>5008061.0</v>
      </c>
      <c r="H288" s="19">
        <f t="shared" si="1"/>
        <v>0.01161484487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>
        <v>44764.0</v>
      </c>
      <c r="B289" s="15">
        <v>1534.0</v>
      </c>
      <c r="C289" s="15">
        <v>1540.0</v>
      </c>
      <c r="D289" s="15">
        <v>1492.150024</v>
      </c>
      <c r="E289" s="15">
        <v>1506.300049</v>
      </c>
      <c r="F289" s="15">
        <v>1451.467651</v>
      </c>
      <c r="G289" s="15">
        <v>7020642.0</v>
      </c>
      <c r="H289" s="19">
        <f t="shared" si="1"/>
        <v>-0.01735271354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>
        <v>44767.0</v>
      </c>
      <c r="B290" s="15">
        <v>1480.099976</v>
      </c>
      <c r="C290" s="15">
        <v>1517.150024</v>
      </c>
      <c r="D290" s="15">
        <v>1480.099976</v>
      </c>
      <c r="E290" s="15">
        <v>1503.599976</v>
      </c>
      <c r="F290" s="15">
        <v>1448.865845</v>
      </c>
      <c r="G290" s="15">
        <v>7859626.0</v>
      </c>
      <c r="H290" s="19">
        <f t="shared" si="1"/>
        <v>-0.001792520024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>
        <v>44768.0</v>
      </c>
      <c r="B291" s="15">
        <v>1496.650024</v>
      </c>
      <c r="C291" s="15">
        <v>1496.650024</v>
      </c>
      <c r="D291" s="15">
        <v>1445.0</v>
      </c>
      <c r="E291" s="15">
        <v>1451.150024</v>
      </c>
      <c r="F291" s="15">
        <v>1398.325195</v>
      </c>
      <c r="G291" s="15">
        <v>7268273.0</v>
      </c>
      <c r="H291" s="19">
        <f t="shared" si="1"/>
        <v>-0.03488291623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>
        <v>44769.0</v>
      </c>
      <c r="B292" s="15">
        <v>1451.0</v>
      </c>
      <c r="C292" s="15">
        <v>1473.0</v>
      </c>
      <c r="D292" s="15">
        <v>1445.0</v>
      </c>
      <c r="E292" s="15">
        <v>1471.050049</v>
      </c>
      <c r="F292" s="15">
        <v>1417.500732</v>
      </c>
      <c r="G292" s="15">
        <v>4517285.0</v>
      </c>
      <c r="H292" s="19">
        <f t="shared" si="1"/>
        <v>0.0137132789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>
        <v>44770.0</v>
      </c>
      <c r="B293" s="15">
        <v>1496.400024</v>
      </c>
      <c r="C293" s="15">
        <v>1524.449951</v>
      </c>
      <c r="D293" s="15">
        <v>1489.849976</v>
      </c>
      <c r="E293" s="15">
        <v>1517.400024</v>
      </c>
      <c r="F293" s="15">
        <v>1462.163574</v>
      </c>
      <c r="G293" s="15">
        <v>6636841.0</v>
      </c>
      <c r="H293" s="19">
        <f t="shared" si="1"/>
        <v>0.03150808841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>
        <v>44771.0</v>
      </c>
      <c r="B294" s="15">
        <v>1532.800049</v>
      </c>
      <c r="C294" s="15">
        <v>1555.699951</v>
      </c>
      <c r="D294" s="15">
        <v>1528.0</v>
      </c>
      <c r="E294" s="15">
        <v>1549.699951</v>
      </c>
      <c r="F294" s="15">
        <v>1493.287598</v>
      </c>
      <c r="G294" s="15">
        <v>7009465.0</v>
      </c>
      <c r="H294" s="19">
        <f t="shared" si="1"/>
        <v>0.02128636252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>
        <v>44774.0</v>
      </c>
      <c r="B295" s="15">
        <v>1564.0</v>
      </c>
      <c r="C295" s="15">
        <v>1564.0</v>
      </c>
      <c r="D295" s="15">
        <v>1537.900024</v>
      </c>
      <c r="E295" s="15">
        <v>1551.050049</v>
      </c>
      <c r="F295" s="15">
        <v>1494.588501</v>
      </c>
      <c r="G295" s="15">
        <v>2983249.0</v>
      </c>
      <c r="H295" s="19">
        <f t="shared" si="1"/>
        <v>0.0008711996146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>
        <v>44775.0</v>
      </c>
      <c r="B296" s="15">
        <v>1546.550049</v>
      </c>
      <c r="C296" s="15">
        <v>1547.0</v>
      </c>
      <c r="D296" s="15">
        <v>1528.349976</v>
      </c>
      <c r="E296" s="15">
        <v>1543.599976</v>
      </c>
      <c r="F296" s="15">
        <v>1487.40979</v>
      </c>
      <c r="G296" s="15">
        <v>4374635.0</v>
      </c>
      <c r="H296" s="19">
        <f t="shared" si="1"/>
        <v>-0.004803244747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>
        <v>44776.0</v>
      </c>
      <c r="B297" s="15">
        <v>1549.0</v>
      </c>
      <c r="C297" s="15">
        <v>1570.0</v>
      </c>
      <c r="D297" s="15">
        <v>1539.900024</v>
      </c>
      <c r="E297" s="15">
        <v>1566.099976</v>
      </c>
      <c r="F297" s="15">
        <v>1509.090698</v>
      </c>
      <c r="G297" s="15">
        <v>6011955.0</v>
      </c>
      <c r="H297" s="19">
        <f t="shared" si="1"/>
        <v>0.01457631533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>
        <v>44777.0</v>
      </c>
      <c r="B298" s="15">
        <v>1587.5</v>
      </c>
      <c r="C298" s="15">
        <v>1603.849976</v>
      </c>
      <c r="D298" s="15">
        <v>1574.949951</v>
      </c>
      <c r="E298" s="15">
        <v>1599.900024</v>
      </c>
      <c r="F298" s="15">
        <v>1541.660278</v>
      </c>
      <c r="G298" s="15">
        <v>7402209.0</v>
      </c>
      <c r="H298" s="19">
        <f t="shared" si="1"/>
        <v>0.02158230542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>
        <v>44778.0</v>
      </c>
      <c r="B299" s="15">
        <v>1608.400024</v>
      </c>
      <c r="C299" s="15">
        <v>1625.699951</v>
      </c>
      <c r="D299" s="15">
        <v>1602.300049</v>
      </c>
      <c r="E299" s="15">
        <v>1616.650024</v>
      </c>
      <c r="F299" s="15">
        <v>1557.800659</v>
      </c>
      <c r="G299" s="15">
        <v>5361971.0</v>
      </c>
      <c r="H299" s="19">
        <f t="shared" si="1"/>
        <v>0.01046940418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>
        <v>44781.0</v>
      </c>
      <c r="B300" s="15">
        <v>1617.0</v>
      </c>
      <c r="C300" s="15">
        <v>1622.0</v>
      </c>
      <c r="D300" s="15">
        <v>1596.0</v>
      </c>
      <c r="E300" s="15">
        <v>1619.400024</v>
      </c>
      <c r="F300" s="15">
        <v>1560.450439</v>
      </c>
      <c r="G300" s="15">
        <v>3763409.0</v>
      </c>
      <c r="H300" s="19">
        <f t="shared" si="1"/>
        <v>0.001701048439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>
        <v>44783.0</v>
      </c>
      <c r="B301" s="15">
        <v>1621.199951</v>
      </c>
      <c r="C301" s="15">
        <v>1621.199951</v>
      </c>
      <c r="D301" s="15">
        <v>1588.099976</v>
      </c>
      <c r="E301" s="15">
        <v>1602.449951</v>
      </c>
      <c r="F301" s="15">
        <v>1544.117554</v>
      </c>
      <c r="G301" s="15">
        <v>4423829.0</v>
      </c>
      <c r="H301" s="19">
        <f t="shared" si="1"/>
        <v>-0.01046688449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>
        <v>44784.0</v>
      </c>
      <c r="B302" s="15">
        <v>1630.0</v>
      </c>
      <c r="C302" s="15">
        <v>1631.349976</v>
      </c>
      <c r="D302" s="15">
        <v>1616.0</v>
      </c>
      <c r="E302" s="15">
        <v>1619.949951</v>
      </c>
      <c r="F302" s="15">
        <v>1560.980469</v>
      </c>
      <c r="G302" s="15">
        <v>3462090.0</v>
      </c>
      <c r="H302" s="19">
        <f t="shared" si="1"/>
        <v>0.01092077789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8">
        <v>44785.0</v>
      </c>
      <c r="B303" s="15">
        <v>1613.300049</v>
      </c>
      <c r="C303" s="15">
        <v>1614.0</v>
      </c>
      <c r="D303" s="15">
        <v>1590.150024</v>
      </c>
      <c r="E303" s="15">
        <v>1594.099976</v>
      </c>
      <c r="F303" s="15">
        <v>1536.071411</v>
      </c>
      <c r="G303" s="15">
        <v>3562286.0</v>
      </c>
      <c r="H303" s="19">
        <f t="shared" si="1"/>
        <v>-0.01595726768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>
        <v>44789.0</v>
      </c>
      <c r="B304" s="15">
        <v>1609.0</v>
      </c>
      <c r="C304" s="15">
        <v>1609.0</v>
      </c>
      <c r="D304" s="15">
        <v>1591.099976</v>
      </c>
      <c r="E304" s="15">
        <v>1596.449951</v>
      </c>
      <c r="F304" s="15">
        <v>1538.335938</v>
      </c>
      <c r="G304" s="15">
        <v>3004430.0</v>
      </c>
      <c r="H304" s="19">
        <f t="shared" si="1"/>
        <v>0.0014741704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8">
        <v>44790.0</v>
      </c>
      <c r="B305" s="15">
        <v>1596.449951</v>
      </c>
      <c r="C305" s="15">
        <v>1612.0</v>
      </c>
      <c r="D305" s="15">
        <v>1585.0</v>
      </c>
      <c r="E305" s="15">
        <v>1606.25</v>
      </c>
      <c r="F305" s="15">
        <v>1547.779175</v>
      </c>
      <c r="G305" s="15">
        <v>4067324.0</v>
      </c>
      <c r="H305" s="19">
        <f t="shared" si="1"/>
        <v>0.006138650945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>
        <v>44791.0</v>
      </c>
      <c r="B306" s="15">
        <v>1594.099976</v>
      </c>
      <c r="C306" s="15">
        <v>1598.199951</v>
      </c>
      <c r="D306" s="15">
        <v>1574.0</v>
      </c>
      <c r="E306" s="15">
        <v>1582.949951</v>
      </c>
      <c r="F306" s="15">
        <v>1525.327393</v>
      </c>
      <c r="G306" s="15">
        <v>4635706.0</v>
      </c>
      <c r="H306" s="19">
        <f t="shared" si="1"/>
        <v>-0.01450586708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8">
        <v>44792.0</v>
      </c>
      <c r="B307" s="15">
        <v>1585.300049</v>
      </c>
      <c r="C307" s="15">
        <v>1604.900024</v>
      </c>
      <c r="D307" s="15">
        <v>1585.099976</v>
      </c>
      <c r="E307" s="15">
        <v>1597.099976</v>
      </c>
      <c r="F307" s="15">
        <v>1538.962158</v>
      </c>
      <c r="G307" s="15">
        <v>4739884.0</v>
      </c>
      <c r="H307" s="19">
        <f t="shared" si="1"/>
        <v>0.008939022356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>
        <v>44795.0</v>
      </c>
      <c r="B308" s="15">
        <v>1586.0</v>
      </c>
      <c r="C308" s="15">
        <v>1599.0</v>
      </c>
      <c r="D308" s="15">
        <v>1574.0</v>
      </c>
      <c r="E308" s="15">
        <v>1575.650024</v>
      </c>
      <c r="F308" s="15">
        <v>1518.293213</v>
      </c>
      <c r="G308" s="15">
        <v>3950555.0</v>
      </c>
      <c r="H308" s="19">
        <f t="shared" si="1"/>
        <v>-0.0134305631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8">
        <v>44796.0</v>
      </c>
      <c r="B309" s="15">
        <v>1548.0</v>
      </c>
      <c r="C309" s="15">
        <v>1554.5</v>
      </c>
      <c r="D309" s="15">
        <v>1533.0</v>
      </c>
      <c r="E309" s="15">
        <v>1542.400024</v>
      </c>
      <c r="F309" s="15">
        <v>1486.253418</v>
      </c>
      <c r="G309" s="15">
        <v>5551574.0</v>
      </c>
      <c r="H309" s="19">
        <f t="shared" si="1"/>
        <v>-0.02110240186</v>
      </c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>
        <v>44797.0</v>
      </c>
      <c r="B310" s="15">
        <v>1535.0</v>
      </c>
      <c r="C310" s="15">
        <v>1546.0</v>
      </c>
      <c r="D310" s="15">
        <v>1531.0</v>
      </c>
      <c r="E310" s="15">
        <v>1537.5</v>
      </c>
      <c r="F310" s="15">
        <v>1481.53186</v>
      </c>
      <c r="G310" s="15">
        <v>2888426.0</v>
      </c>
      <c r="H310" s="19">
        <f t="shared" si="1"/>
        <v>-0.003176882731</v>
      </c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8">
        <v>44798.0</v>
      </c>
      <c r="B311" s="15">
        <v>1548.0</v>
      </c>
      <c r="C311" s="15">
        <v>1548.699951</v>
      </c>
      <c r="D311" s="15">
        <v>1513.75</v>
      </c>
      <c r="E311" s="15">
        <v>1518.150024</v>
      </c>
      <c r="F311" s="15">
        <v>1462.88623</v>
      </c>
      <c r="G311" s="15">
        <v>4331088.0</v>
      </c>
      <c r="H311" s="19">
        <f t="shared" si="1"/>
        <v>-0.01258535024</v>
      </c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>
        <v>44799.0</v>
      </c>
      <c r="B312" s="15">
        <v>1535.150024</v>
      </c>
      <c r="C312" s="15">
        <v>1544.949951</v>
      </c>
      <c r="D312" s="15">
        <v>1517.449951</v>
      </c>
      <c r="E312" s="15">
        <v>1521.550049</v>
      </c>
      <c r="F312" s="15">
        <v>1466.162354</v>
      </c>
      <c r="G312" s="15">
        <v>3079136.0</v>
      </c>
      <c r="H312" s="19">
        <f t="shared" si="1"/>
        <v>0.002239584327</v>
      </c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8">
        <v>44802.0</v>
      </c>
      <c r="B313" s="15">
        <v>1468.550049</v>
      </c>
      <c r="C313" s="15">
        <v>1468.550049</v>
      </c>
      <c r="D313" s="15">
        <v>1450.0</v>
      </c>
      <c r="E313" s="15">
        <v>1461.75</v>
      </c>
      <c r="F313" s="15">
        <v>1408.539307</v>
      </c>
      <c r="G313" s="15">
        <v>8079050.0</v>
      </c>
      <c r="H313" s="19">
        <f t="shared" si="1"/>
        <v>-0.03930205848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>
        <v>44803.0</v>
      </c>
      <c r="B314" s="15">
        <v>1473.099976</v>
      </c>
      <c r="C314" s="15">
        <v>1496.099976</v>
      </c>
      <c r="D314" s="15">
        <v>1466.0</v>
      </c>
      <c r="E314" s="15">
        <v>1492.949951</v>
      </c>
      <c r="F314" s="15">
        <v>1438.603516</v>
      </c>
      <c r="G314" s="15">
        <v>6725875.0</v>
      </c>
      <c r="H314" s="19">
        <f t="shared" si="1"/>
        <v>0.0213442456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8">
        <v>44805.0</v>
      </c>
      <c r="B315" s="15">
        <v>1460.050049</v>
      </c>
      <c r="C315" s="15">
        <v>1468.099976</v>
      </c>
      <c r="D315" s="15">
        <v>1451.050049</v>
      </c>
      <c r="E315" s="15">
        <v>1464.199951</v>
      </c>
      <c r="F315" s="15">
        <v>1410.900024</v>
      </c>
      <c r="G315" s="15">
        <v>8140604.0</v>
      </c>
      <c r="H315" s="19">
        <f t="shared" si="1"/>
        <v>-0.01925717602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>
        <v>44806.0</v>
      </c>
      <c r="B316" s="15">
        <v>1478.0</v>
      </c>
      <c r="C316" s="15">
        <v>1478.0</v>
      </c>
      <c r="D316" s="15">
        <v>1448.0</v>
      </c>
      <c r="E316" s="15">
        <v>1453.0</v>
      </c>
      <c r="F316" s="15">
        <v>1400.107788</v>
      </c>
      <c r="G316" s="15">
        <v>5175653.0</v>
      </c>
      <c r="H316" s="19">
        <f t="shared" si="1"/>
        <v>-0.007649195038</v>
      </c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8">
        <v>44809.0</v>
      </c>
      <c r="B317" s="15">
        <v>1451.0</v>
      </c>
      <c r="C317" s="15">
        <v>1467.0</v>
      </c>
      <c r="D317" s="15">
        <v>1446.349976</v>
      </c>
      <c r="E317" s="15">
        <v>1461.300049</v>
      </c>
      <c r="F317" s="15">
        <v>1408.105591</v>
      </c>
      <c r="G317" s="15">
        <v>3669352.0</v>
      </c>
      <c r="H317" s="19">
        <f t="shared" si="1"/>
        <v>0.005712353063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>
        <v>44810.0</v>
      </c>
      <c r="B318" s="15">
        <v>1461.300049</v>
      </c>
      <c r="C318" s="15">
        <v>1470.0</v>
      </c>
      <c r="D318" s="15">
        <v>1445.449951</v>
      </c>
      <c r="E318" s="15">
        <v>1455.099976</v>
      </c>
      <c r="F318" s="15">
        <v>1402.131348</v>
      </c>
      <c r="G318" s="15">
        <v>3428442.0</v>
      </c>
      <c r="H318" s="19">
        <f t="shared" si="1"/>
        <v>-0.004242847322</v>
      </c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8">
        <v>44811.0</v>
      </c>
      <c r="B319" s="15">
        <v>1440.0</v>
      </c>
      <c r="C319" s="15">
        <v>1465.75</v>
      </c>
      <c r="D319" s="15">
        <v>1438.050049</v>
      </c>
      <c r="E319" s="15">
        <v>1457.650024</v>
      </c>
      <c r="F319" s="15">
        <v>1404.588501</v>
      </c>
      <c r="G319" s="15">
        <v>3600574.0</v>
      </c>
      <c r="H319" s="19">
        <f t="shared" si="1"/>
        <v>0.001752489892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>
        <v>44812.0</v>
      </c>
      <c r="B320" s="15">
        <v>1475.0</v>
      </c>
      <c r="C320" s="15">
        <v>1481.099976</v>
      </c>
      <c r="D320" s="15">
        <v>1463.599976</v>
      </c>
      <c r="E320" s="15">
        <v>1475.900024</v>
      </c>
      <c r="F320" s="15">
        <v>1422.174194</v>
      </c>
      <c r="G320" s="15">
        <v>4061475.0</v>
      </c>
      <c r="H320" s="19">
        <f t="shared" si="1"/>
        <v>0.01252015209</v>
      </c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8">
        <v>44813.0</v>
      </c>
      <c r="B321" s="15">
        <v>1488.0</v>
      </c>
      <c r="C321" s="15">
        <v>1520.0</v>
      </c>
      <c r="D321" s="15">
        <v>1480.0</v>
      </c>
      <c r="E321" s="15">
        <v>1511.650024</v>
      </c>
      <c r="F321" s="15">
        <v>1456.622803</v>
      </c>
      <c r="G321" s="15">
        <v>4816910.0</v>
      </c>
      <c r="H321" s="19">
        <f t="shared" si="1"/>
        <v>0.02422250791</v>
      </c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>
        <v>44816.0</v>
      </c>
      <c r="B322" s="15">
        <v>1525.800049</v>
      </c>
      <c r="C322" s="15">
        <v>1545.900024</v>
      </c>
      <c r="D322" s="15">
        <v>1521.150024</v>
      </c>
      <c r="E322" s="15">
        <v>1536.199951</v>
      </c>
      <c r="F322" s="15">
        <v>1480.279175</v>
      </c>
      <c r="G322" s="15">
        <v>5494819.0</v>
      </c>
      <c r="H322" s="19">
        <f t="shared" si="1"/>
        <v>0.01624048332</v>
      </c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8">
        <v>44817.0</v>
      </c>
      <c r="B323" s="15">
        <v>1551.900024</v>
      </c>
      <c r="C323" s="15">
        <v>1553.0</v>
      </c>
      <c r="D323" s="15">
        <v>1541.300049</v>
      </c>
      <c r="E323" s="15">
        <v>1544.949951</v>
      </c>
      <c r="F323" s="15">
        <v>1488.710571</v>
      </c>
      <c r="G323" s="15">
        <v>4947158.0</v>
      </c>
      <c r="H323" s="19">
        <f t="shared" si="1"/>
        <v>0.005695873115</v>
      </c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>
        <v>44818.0</v>
      </c>
      <c r="B324" s="15">
        <v>1497.0</v>
      </c>
      <c r="C324" s="15">
        <v>1498.949951</v>
      </c>
      <c r="D324" s="15">
        <v>1472.0</v>
      </c>
      <c r="E324" s="15">
        <v>1475.400024</v>
      </c>
      <c r="F324" s="15">
        <v>1421.692505</v>
      </c>
      <c r="G324" s="15">
        <v>1.4332197E7</v>
      </c>
      <c r="H324" s="19">
        <f t="shared" si="1"/>
        <v>-0.04501759229</v>
      </c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8">
        <v>44819.0</v>
      </c>
      <c r="B325" s="15">
        <v>1475.0</v>
      </c>
      <c r="C325" s="15">
        <v>1475.199951</v>
      </c>
      <c r="D325" s="15">
        <v>1429.050049</v>
      </c>
      <c r="E325" s="15">
        <v>1432.800049</v>
      </c>
      <c r="F325" s="15">
        <v>1380.643066</v>
      </c>
      <c r="G325" s="15">
        <v>1.27841E7</v>
      </c>
      <c r="H325" s="19">
        <f t="shared" si="1"/>
        <v>-0.02887350841</v>
      </c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>
        <v>44820.0</v>
      </c>
      <c r="B326" s="15">
        <v>1425.0</v>
      </c>
      <c r="C326" s="15">
        <v>1425.0</v>
      </c>
      <c r="D326" s="15">
        <v>1368.349976</v>
      </c>
      <c r="E326" s="15">
        <v>1377.050049</v>
      </c>
      <c r="F326" s="15">
        <v>1326.922607</v>
      </c>
      <c r="G326" s="15">
        <v>2.0464045E7</v>
      </c>
      <c r="H326" s="19">
        <f t="shared" si="1"/>
        <v>-0.03890982558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8">
        <v>44823.0</v>
      </c>
      <c r="B327" s="15">
        <v>1392.0</v>
      </c>
      <c r="C327" s="15">
        <v>1406.0</v>
      </c>
      <c r="D327" s="15">
        <v>1380.599976</v>
      </c>
      <c r="E327" s="15">
        <v>1390.300049</v>
      </c>
      <c r="F327" s="15">
        <v>1339.690186</v>
      </c>
      <c r="G327" s="15">
        <v>6595241.0</v>
      </c>
      <c r="H327" s="19">
        <f t="shared" si="1"/>
        <v>0.00962201774</v>
      </c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>
        <v>44824.0</v>
      </c>
      <c r="B328" s="15">
        <v>1407.949951</v>
      </c>
      <c r="C328" s="15">
        <v>1413.550049</v>
      </c>
      <c r="D328" s="15">
        <v>1385.099976</v>
      </c>
      <c r="E328" s="15">
        <v>1388.550049</v>
      </c>
      <c r="F328" s="15">
        <v>1338.004028</v>
      </c>
      <c r="G328" s="15">
        <v>7219797.0</v>
      </c>
      <c r="H328" s="19">
        <f t="shared" si="1"/>
        <v>-0.001258721095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8">
        <v>44825.0</v>
      </c>
      <c r="B329" s="15">
        <v>1379.900024</v>
      </c>
      <c r="C329" s="15">
        <v>1388.800049</v>
      </c>
      <c r="D329" s="15">
        <v>1368.400024</v>
      </c>
      <c r="E329" s="15">
        <v>1377.25</v>
      </c>
      <c r="F329" s="15">
        <v>1327.115234</v>
      </c>
      <c r="G329" s="15">
        <v>7917054.0</v>
      </c>
      <c r="H329" s="19">
        <f t="shared" si="1"/>
        <v>-0.00813802067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>
        <v>44826.0</v>
      </c>
      <c r="B330" s="15">
        <v>1366.349976</v>
      </c>
      <c r="C330" s="15">
        <v>1383.949951</v>
      </c>
      <c r="D330" s="15">
        <v>1360.0</v>
      </c>
      <c r="E330" s="15">
        <v>1367.949951</v>
      </c>
      <c r="F330" s="15">
        <v>1318.153687</v>
      </c>
      <c r="G330" s="15">
        <v>9168498.0</v>
      </c>
      <c r="H330" s="19">
        <f t="shared" si="1"/>
        <v>-0.006752622254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8">
        <v>44827.0</v>
      </c>
      <c r="B331" s="15">
        <v>1367.5</v>
      </c>
      <c r="C331" s="15">
        <v>1394.800049</v>
      </c>
      <c r="D331" s="15">
        <v>1362.0</v>
      </c>
      <c r="E331" s="15">
        <v>1365.449951</v>
      </c>
      <c r="F331" s="15">
        <v>1315.744751</v>
      </c>
      <c r="G331" s="15">
        <v>1.04262E7</v>
      </c>
      <c r="H331" s="19">
        <f t="shared" si="1"/>
        <v>-0.001827552242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>
        <v>44830.0</v>
      </c>
      <c r="B332" s="15">
        <v>1360.0</v>
      </c>
      <c r="C332" s="15">
        <v>1399.449951</v>
      </c>
      <c r="D332" s="15">
        <v>1355.0</v>
      </c>
      <c r="E332" s="15">
        <v>1380.25</v>
      </c>
      <c r="F332" s="15">
        <v>1330.005981</v>
      </c>
      <c r="G332" s="15">
        <v>9414587.0</v>
      </c>
      <c r="H332" s="19">
        <f t="shared" si="1"/>
        <v>0.01083895385</v>
      </c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8">
        <v>44831.0</v>
      </c>
      <c r="B333" s="15">
        <v>1393.449951</v>
      </c>
      <c r="C333" s="15">
        <v>1406.5</v>
      </c>
      <c r="D333" s="15">
        <v>1378.0</v>
      </c>
      <c r="E333" s="15">
        <v>1393.550049</v>
      </c>
      <c r="F333" s="15">
        <v>1342.821899</v>
      </c>
      <c r="G333" s="15">
        <v>8561254.0</v>
      </c>
      <c r="H333" s="19">
        <f t="shared" si="1"/>
        <v>0.00963597102</v>
      </c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>
        <v>44832.0</v>
      </c>
      <c r="B334" s="15">
        <v>1379.0</v>
      </c>
      <c r="C334" s="15">
        <v>1405.849976</v>
      </c>
      <c r="D334" s="15">
        <v>1377.0</v>
      </c>
      <c r="E334" s="15">
        <v>1394.699951</v>
      </c>
      <c r="F334" s="15">
        <v>1343.929932</v>
      </c>
      <c r="G334" s="15">
        <v>7022098.0</v>
      </c>
      <c r="H334" s="19">
        <f t="shared" si="1"/>
        <v>0.0008251601733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8">
        <v>44833.0</v>
      </c>
      <c r="B335" s="15">
        <v>1404.900024</v>
      </c>
      <c r="C335" s="15">
        <v>1409.849976</v>
      </c>
      <c r="D335" s="15">
        <v>1393.0</v>
      </c>
      <c r="E335" s="15">
        <v>1398.650024</v>
      </c>
      <c r="F335" s="15">
        <v>1347.736328</v>
      </c>
      <c r="G335" s="15">
        <v>6119965.0</v>
      </c>
      <c r="H335" s="19">
        <f t="shared" si="1"/>
        <v>0.002832202724</v>
      </c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>
        <v>44834.0</v>
      </c>
      <c r="B336" s="15">
        <v>1388.949951</v>
      </c>
      <c r="C336" s="15">
        <v>1419.300049</v>
      </c>
      <c r="D336" s="15">
        <v>1376.0</v>
      </c>
      <c r="E336" s="15">
        <v>1413.449951</v>
      </c>
      <c r="F336" s="15">
        <v>1361.997314</v>
      </c>
      <c r="G336" s="15">
        <v>8120130.0</v>
      </c>
      <c r="H336" s="19">
        <f t="shared" si="1"/>
        <v>0.01058157991</v>
      </c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8">
        <v>44837.0</v>
      </c>
      <c r="B337" s="15">
        <v>1412.0</v>
      </c>
      <c r="C337" s="15">
        <v>1412.0</v>
      </c>
      <c r="D337" s="15">
        <v>1386.0</v>
      </c>
      <c r="E337" s="15">
        <v>1393.75</v>
      </c>
      <c r="F337" s="15">
        <v>1343.014648</v>
      </c>
      <c r="G337" s="15">
        <v>4943169.0</v>
      </c>
      <c r="H337" s="19">
        <f t="shared" si="1"/>
        <v>-0.01393749456</v>
      </c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>
        <v>44838.0</v>
      </c>
      <c r="B338" s="15">
        <v>1419.699951</v>
      </c>
      <c r="C338" s="15">
        <v>1432.25</v>
      </c>
      <c r="D338" s="15">
        <v>1414.0</v>
      </c>
      <c r="E338" s="15">
        <v>1429.400024</v>
      </c>
      <c r="F338" s="15">
        <v>1377.366943</v>
      </c>
      <c r="G338" s="15">
        <v>6631341.0</v>
      </c>
      <c r="H338" s="19">
        <f t="shared" si="1"/>
        <v>0.02557849256</v>
      </c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8">
        <v>44840.0</v>
      </c>
      <c r="B339" s="15">
        <v>1445.0</v>
      </c>
      <c r="C339" s="15">
        <v>1459.800049</v>
      </c>
      <c r="D339" s="15">
        <v>1444.099976</v>
      </c>
      <c r="E339" s="15">
        <v>1455.150024</v>
      </c>
      <c r="F339" s="15">
        <v>1402.179565</v>
      </c>
      <c r="G339" s="15">
        <v>6180672.0</v>
      </c>
      <c r="H339" s="19">
        <f t="shared" si="1"/>
        <v>0.01801455126</v>
      </c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>
        <v>44841.0</v>
      </c>
      <c r="B340" s="15">
        <v>1446.349976</v>
      </c>
      <c r="C340" s="15">
        <v>1457.849976</v>
      </c>
      <c r="D340" s="15">
        <v>1440.150024</v>
      </c>
      <c r="E340" s="15">
        <v>1451.199951</v>
      </c>
      <c r="F340" s="15">
        <v>1398.373291</v>
      </c>
      <c r="G340" s="15">
        <v>3994466.0</v>
      </c>
      <c r="H340" s="19">
        <f t="shared" si="1"/>
        <v>-0.002714546909</v>
      </c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8">
        <v>44844.0</v>
      </c>
      <c r="B341" s="15">
        <v>1426.349976</v>
      </c>
      <c r="C341" s="15">
        <v>1465.0</v>
      </c>
      <c r="D341" s="15">
        <v>1426.349976</v>
      </c>
      <c r="E341" s="15">
        <v>1462.650024</v>
      </c>
      <c r="F341" s="15">
        <v>1409.406616</v>
      </c>
      <c r="G341" s="15">
        <v>5274677.0</v>
      </c>
      <c r="H341" s="19">
        <f t="shared" si="1"/>
        <v>0.00789007262</v>
      </c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>
        <v>44845.0</v>
      </c>
      <c r="B342" s="15">
        <v>1462.650024</v>
      </c>
      <c r="C342" s="15">
        <v>1479.650024</v>
      </c>
      <c r="D342" s="15">
        <v>1420.099976</v>
      </c>
      <c r="E342" s="15">
        <v>1423.800049</v>
      </c>
      <c r="F342" s="15">
        <v>1371.970825</v>
      </c>
      <c r="G342" s="15">
        <v>1.2824774E7</v>
      </c>
      <c r="H342" s="19">
        <f t="shared" si="1"/>
        <v>-0.02656136079</v>
      </c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8">
        <v>44846.0</v>
      </c>
      <c r="B343" s="15">
        <v>1437.0</v>
      </c>
      <c r="C343" s="15">
        <v>1441.099976</v>
      </c>
      <c r="D343" s="15">
        <v>1413.550049</v>
      </c>
      <c r="E343" s="15">
        <v>1428.699951</v>
      </c>
      <c r="F343" s="15">
        <v>1376.692261</v>
      </c>
      <c r="G343" s="15">
        <v>5481467.0</v>
      </c>
      <c r="H343" s="19">
        <f t="shared" si="1"/>
        <v>0.003441425644</v>
      </c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>
        <v>44847.0</v>
      </c>
      <c r="B344" s="15">
        <v>1431.0</v>
      </c>
      <c r="C344" s="15">
        <v>1437.949951</v>
      </c>
      <c r="D344" s="15">
        <v>1415.0</v>
      </c>
      <c r="E344" s="15">
        <v>1419.900024</v>
      </c>
      <c r="F344" s="15">
        <v>1368.212646</v>
      </c>
      <c r="G344" s="15">
        <v>4821514.0</v>
      </c>
      <c r="H344" s="19">
        <f t="shared" si="1"/>
        <v>-0.006159394766</v>
      </c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8">
        <v>44848.0</v>
      </c>
      <c r="B345" s="15">
        <v>1485.0</v>
      </c>
      <c r="C345" s="15">
        <v>1494.0</v>
      </c>
      <c r="D345" s="15">
        <v>1467.25</v>
      </c>
      <c r="E345" s="15">
        <v>1474.25</v>
      </c>
      <c r="F345" s="15">
        <v>1420.584106</v>
      </c>
      <c r="G345" s="15">
        <v>1.4990688E7</v>
      </c>
      <c r="H345" s="19">
        <f t="shared" si="1"/>
        <v>0.03827732593</v>
      </c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>
        <v>44851.0</v>
      </c>
      <c r="B346" s="15">
        <v>1476.900024</v>
      </c>
      <c r="C346" s="15">
        <v>1495.0</v>
      </c>
      <c r="D346" s="15">
        <v>1475.5</v>
      </c>
      <c r="E346" s="15">
        <v>1489.949951</v>
      </c>
      <c r="F346" s="15">
        <v>1435.712646</v>
      </c>
      <c r="G346" s="15">
        <v>4286396.0</v>
      </c>
      <c r="H346" s="19">
        <f t="shared" si="1"/>
        <v>0.01064944955</v>
      </c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8">
        <v>44852.0</v>
      </c>
      <c r="B347" s="15">
        <v>1510.0</v>
      </c>
      <c r="C347" s="15">
        <v>1510.949951</v>
      </c>
      <c r="D347" s="15">
        <v>1497.25</v>
      </c>
      <c r="E347" s="15">
        <v>1503.699951</v>
      </c>
      <c r="F347" s="15">
        <v>1448.962158</v>
      </c>
      <c r="G347" s="15">
        <v>4692004.0</v>
      </c>
      <c r="H347" s="19">
        <f t="shared" si="1"/>
        <v>0.009228497904</v>
      </c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>
        <v>44853.0</v>
      </c>
      <c r="B348" s="15">
        <v>1504.0</v>
      </c>
      <c r="C348" s="15">
        <v>1504.949951</v>
      </c>
      <c r="D348" s="15">
        <v>1481.300049</v>
      </c>
      <c r="E348" s="15">
        <v>1485.449951</v>
      </c>
      <c r="F348" s="15">
        <v>1431.376587</v>
      </c>
      <c r="G348" s="15">
        <v>3553171.0</v>
      </c>
      <c r="H348" s="19">
        <f t="shared" si="1"/>
        <v>-0.0121367298</v>
      </c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8">
        <v>44854.0</v>
      </c>
      <c r="B349" s="15">
        <v>1475.0</v>
      </c>
      <c r="C349" s="15">
        <v>1504.0</v>
      </c>
      <c r="D349" s="15">
        <v>1474.199951</v>
      </c>
      <c r="E349" s="15">
        <v>1500.900024</v>
      </c>
      <c r="F349" s="15">
        <v>1446.26416</v>
      </c>
      <c r="G349" s="15">
        <v>4583939.0</v>
      </c>
      <c r="H349" s="19">
        <f t="shared" si="1"/>
        <v>0.01040093811</v>
      </c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>
        <v>44855.0</v>
      </c>
      <c r="B350" s="15">
        <v>1500.300049</v>
      </c>
      <c r="C350" s="15">
        <v>1506.0</v>
      </c>
      <c r="D350" s="15">
        <v>1491.349976</v>
      </c>
      <c r="E350" s="15">
        <v>1500.5</v>
      </c>
      <c r="F350" s="15">
        <v>1445.87854</v>
      </c>
      <c r="G350" s="15">
        <v>3594485.0</v>
      </c>
      <c r="H350" s="19">
        <f t="shared" si="1"/>
        <v>-0.0002665227488</v>
      </c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8">
        <v>44858.0</v>
      </c>
      <c r="B351" s="15">
        <v>1518.5</v>
      </c>
      <c r="C351" s="15">
        <v>1521.800049</v>
      </c>
      <c r="D351" s="15">
        <v>1511.0</v>
      </c>
      <c r="E351" s="15">
        <v>1517.849976</v>
      </c>
      <c r="F351" s="15">
        <v>1462.597046</v>
      </c>
      <c r="G351" s="15">
        <v>982837.0</v>
      </c>
      <c r="H351" s="19">
        <f t="shared" si="1"/>
        <v>0.0115627964</v>
      </c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>
        <v>44859.0</v>
      </c>
      <c r="B352" s="15">
        <v>1528.099976</v>
      </c>
      <c r="C352" s="15">
        <v>1532.900024</v>
      </c>
      <c r="D352" s="15">
        <v>1521.050049</v>
      </c>
      <c r="E352" s="15">
        <v>1526.300049</v>
      </c>
      <c r="F352" s="15">
        <v>1470.739502</v>
      </c>
      <c r="G352" s="15">
        <v>3914341.0</v>
      </c>
      <c r="H352" s="19">
        <f t="shared" si="1"/>
        <v>0.005567133204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8">
        <v>44861.0</v>
      </c>
      <c r="B353" s="15">
        <v>1530.800049</v>
      </c>
      <c r="C353" s="15">
        <v>1534.900024</v>
      </c>
      <c r="D353" s="15">
        <v>1512.5</v>
      </c>
      <c r="E353" s="15">
        <v>1523.949951</v>
      </c>
      <c r="F353" s="15">
        <v>1484.523438</v>
      </c>
      <c r="G353" s="15">
        <v>6760137.0</v>
      </c>
      <c r="H353" s="19">
        <f t="shared" si="1"/>
        <v>-0.001539735258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>
        <v>44862.0</v>
      </c>
      <c r="B354" s="15">
        <v>1526.0</v>
      </c>
      <c r="C354" s="15">
        <v>1527.949951</v>
      </c>
      <c r="D354" s="15">
        <v>1507.0</v>
      </c>
      <c r="E354" s="15">
        <v>1513.25</v>
      </c>
      <c r="F354" s="15">
        <v>1474.10022</v>
      </c>
      <c r="G354" s="15">
        <v>3053981.0</v>
      </c>
      <c r="H354" s="19">
        <f t="shared" si="1"/>
        <v>-0.007021195803</v>
      </c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8">
        <v>44865.0</v>
      </c>
      <c r="B355" s="15">
        <v>1530.25</v>
      </c>
      <c r="C355" s="15">
        <v>1546.400024</v>
      </c>
      <c r="D355" s="15">
        <v>1530.25</v>
      </c>
      <c r="E355" s="15">
        <v>1537.650024</v>
      </c>
      <c r="F355" s="15">
        <v>1497.869019</v>
      </c>
      <c r="G355" s="15">
        <v>4542336.0</v>
      </c>
      <c r="H355" s="19">
        <f t="shared" si="1"/>
        <v>0.01612425178</v>
      </c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>
        <v>44866.0</v>
      </c>
      <c r="B356" s="15">
        <v>1553.050049</v>
      </c>
      <c r="C356" s="15">
        <v>1575.0</v>
      </c>
      <c r="D356" s="15">
        <v>1547.099976</v>
      </c>
      <c r="E356" s="15">
        <v>1573.0</v>
      </c>
      <c r="F356" s="15">
        <v>1532.304443</v>
      </c>
      <c r="G356" s="15">
        <v>4542692.0</v>
      </c>
      <c r="H356" s="19">
        <f t="shared" si="1"/>
        <v>0.02298961106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8">
        <v>44867.0</v>
      </c>
      <c r="B357" s="15">
        <v>1572.0</v>
      </c>
      <c r="C357" s="15">
        <v>1572.75</v>
      </c>
      <c r="D357" s="15">
        <v>1545.0</v>
      </c>
      <c r="E357" s="15">
        <v>1553.300049</v>
      </c>
      <c r="F357" s="15">
        <v>1513.114136</v>
      </c>
      <c r="G357" s="15">
        <v>2938906.0</v>
      </c>
      <c r="H357" s="19">
        <f t="shared" si="1"/>
        <v>-0.01252380865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>
        <v>44868.0</v>
      </c>
      <c r="B358" s="15">
        <v>1538.75</v>
      </c>
      <c r="C358" s="15">
        <v>1543.900024</v>
      </c>
      <c r="D358" s="15">
        <v>1521.650024</v>
      </c>
      <c r="E358" s="15">
        <v>1530.75</v>
      </c>
      <c r="F358" s="15">
        <v>1491.147461</v>
      </c>
      <c r="G358" s="15">
        <v>3174027.0</v>
      </c>
      <c r="H358" s="19">
        <f t="shared" si="1"/>
        <v>-0.01451751</v>
      </c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8">
        <v>44869.0</v>
      </c>
      <c r="B359" s="15">
        <v>1520.449951</v>
      </c>
      <c r="C359" s="15">
        <v>1520.449951</v>
      </c>
      <c r="D359" s="15">
        <v>1501.150024</v>
      </c>
      <c r="E359" s="15">
        <v>1514.0</v>
      </c>
      <c r="F359" s="15">
        <v>1474.830811</v>
      </c>
      <c r="G359" s="15">
        <v>4509682.0</v>
      </c>
      <c r="H359" s="19">
        <f t="shared" si="1"/>
        <v>-0.01094234852</v>
      </c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>
        <v>44872.0</v>
      </c>
      <c r="B360" s="15">
        <v>1521.400024</v>
      </c>
      <c r="C360" s="15">
        <v>1527.900024</v>
      </c>
      <c r="D360" s="15">
        <v>1491.099976</v>
      </c>
      <c r="E360" s="15">
        <v>1507.449951</v>
      </c>
      <c r="F360" s="15">
        <v>1468.450195</v>
      </c>
      <c r="G360" s="15">
        <v>4898592.0</v>
      </c>
      <c r="H360" s="19">
        <f t="shared" si="1"/>
        <v>-0.004326320343</v>
      </c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8">
        <v>44874.0</v>
      </c>
      <c r="B361" s="15">
        <v>1529.0</v>
      </c>
      <c r="C361" s="15">
        <v>1529.0</v>
      </c>
      <c r="D361" s="15">
        <v>1501.099976</v>
      </c>
      <c r="E361" s="15">
        <v>1511.199951</v>
      </c>
      <c r="F361" s="15">
        <v>1472.103271</v>
      </c>
      <c r="G361" s="15">
        <v>3334755.0</v>
      </c>
      <c r="H361" s="19">
        <f t="shared" si="1"/>
        <v>0.002487644779</v>
      </c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>
        <v>44875.0</v>
      </c>
      <c r="B362" s="15">
        <v>1485.0</v>
      </c>
      <c r="C362" s="15">
        <v>1512.0</v>
      </c>
      <c r="D362" s="15">
        <v>1485.0</v>
      </c>
      <c r="E362" s="15">
        <v>1501.949951</v>
      </c>
      <c r="F362" s="15">
        <v>1463.092529</v>
      </c>
      <c r="G362" s="15">
        <v>3435763.0</v>
      </c>
      <c r="H362" s="19">
        <f t="shared" si="1"/>
        <v>-0.006120963671</v>
      </c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8">
        <v>44876.0</v>
      </c>
      <c r="B363" s="15">
        <v>1546.650024</v>
      </c>
      <c r="C363" s="15">
        <v>1573.5</v>
      </c>
      <c r="D363" s="15">
        <v>1546.650024</v>
      </c>
      <c r="E363" s="15">
        <v>1570.099976</v>
      </c>
      <c r="F363" s="15">
        <v>1529.479492</v>
      </c>
      <c r="G363" s="15">
        <v>7214098.0</v>
      </c>
      <c r="H363" s="19">
        <f t="shared" si="1"/>
        <v>0.04537436481</v>
      </c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>
        <v>44879.0</v>
      </c>
      <c r="B364" s="15">
        <v>1575.150024</v>
      </c>
      <c r="C364" s="15">
        <v>1591.400024</v>
      </c>
      <c r="D364" s="15">
        <v>1568.449951</v>
      </c>
      <c r="E364" s="15">
        <v>1585.300049</v>
      </c>
      <c r="F364" s="15">
        <v>1544.286255</v>
      </c>
      <c r="G364" s="15">
        <v>4908813.0</v>
      </c>
      <c r="H364" s="19">
        <f t="shared" si="1"/>
        <v>0.009680958686</v>
      </c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8">
        <v>44880.0</v>
      </c>
      <c r="B365" s="15">
        <v>1577.849976</v>
      </c>
      <c r="C365" s="15">
        <v>1597.849976</v>
      </c>
      <c r="D365" s="15">
        <v>1572.75</v>
      </c>
      <c r="E365" s="15">
        <v>1594.0</v>
      </c>
      <c r="F365" s="15">
        <v>1552.761108</v>
      </c>
      <c r="G365" s="15">
        <v>3497614.0</v>
      </c>
      <c r="H365" s="19">
        <f t="shared" si="1"/>
        <v>0.005487889189</v>
      </c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>
        <v>44881.0</v>
      </c>
      <c r="B366" s="15">
        <v>1597.150024</v>
      </c>
      <c r="C366" s="15">
        <v>1609.0</v>
      </c>
      <c r="D366" s="15">
        <v>1593.5</v>
      </c>
      <c r="E366" s="15">
        <v>1602.800049</v>
      </c>
      <c r="F366" s="15">
        <v>1561.333496</v>
      </c>
      <c r="G366" s="15">
        <v>4497697.0</v>
      </c>
      <c r="H366" s="19">
        <f t="shared" si="1"/>
        <v>0.005520733375</v>
      </c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8">
        <v>44882.0</v>
      </c>
      <c r="B367" s="15">
        <v>1597.199951</v>
      </c>
      <c r="C367" s="15">
        <v>1602.800049</v>
      </c>
      <c r="D367" s="15">
        <v>1582.949951</v>
      </c>
      <c r="E367" s="15">
        <v>1587.400024</v>
      </c>
      <c r="F367" s="15">
        <v>1546.331909</v>
      </c>
      <c r="G367" s="15">
        <v>3469515.0</v>
      </c>
      <c r="H367" s="19">
        <f t="shared" si="1"/>
        <v>-0.009608200979</v>
      </c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>
        <v>44883.0</v>
      </c>
      <c r="B368" s="15">
        <v>1591.699951</v>
      </c>
      <c r="C368" s="15">
        <v>1598.0</v>
      </c>
      <c r="D368" s="15">
        <v>1575.5</v>
      </c>
      <c r="E368" s="15">
        <v>1593.400024</v>
      </c>
      <c r="F368" s="15">
        <v>1552.176636</v>
      </c>
      <c r="G368" s="15">
        <v>3126064.0</v>
      </c>
      <c r="H368" s="19">
        <f t="shared" si="1"/>
        <v>0.003779765597</v>
      </c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8">
        <v>44886.0</v>
      </c>
      <c r="B369" s="15">
        <v>1582.099976</v>
      </c>
      <c r="C369" s="15">
        <v>1587.849976</v>
      </c>
      <c r="D369" s="15">
        <v>1564.050049</v>
      </c>
      <c r="E369" s="15">
        <v>1568.199951</v>
      </c>
      <c r="F369" s="15">
        <v>1527.62854</v>
      </c>
      <c r="G369" s="15">
        <v>3071764.0</v>
      </c>
      <c r="H369" s="19">
        <f t="shared" si="1"/>
        <v>-0.01581528343</v>
      </c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>
        <v>44887.0</v>
      </c>
      <c r="B370" s="15">
        <v>1569.0</v>
      </c>
      <c r="C370" s="15">
        <v>1588.0</v>
      </c>
      <c r="D370" s="15">
        <v>1562.0</v>
      </c>
      <c r="E370" s="15">
        <v>1585.050049</v>
      </c>
      <c r="F370" s="15">
        <v>1544.042725</v>
      </c>
      <c r="G370" s="15">
        <v>3399329.0</v>
      </c>
      <c r="H370" s="19">
        <f t="shared" si="1"/>
        <v>0.01074486579</v>
      </c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8">
        <v>44888.0</v>
      </c>
      <c r="B371" s="15">
        <v>1588.900024</v>
      </c>
      <c r="C371" s="15">
        <v>1592.0</v>
      </c>
      <c r="D371" s="15">
        <v>1579.300049</v>
      </c>
      <c r="E371" s="15">
        <v>1583.150024</v>
      </c>
      <c r="F371" s="15">
        <v>1542.191895</v>
      </c>
      <c r="G371" s="15">
        <v>3245067.0</v>
      </c>
      <c r="H371" s="19">
        <f t="shared" si="1"/>
        <v>-0.001198716092</v>
      </c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>
        <v>44889.0</v>
      </c>
      <c r="B372" s="15">
        <v>1589.0</v>
      </c>
      <c r="C372" s="15">
        <v>1636.0</v>
      </c>
      <c r="D372" s="15">
        <v>1584.75</v>
      </c>
      <c r="E372" s="15">
        <v>1629.800049</v>
      </c>
      <c r="F372" s="15">
        <v>1587.634888</v>
      </c>
      <c r="G372" s="15">
        <v>5282215.0</v>
      </c>
      <c r="H372" s="19">
        <f t="shared" si="1"/>
        <v>0.02946658516</v>
      </c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8">
        <v>44890.0</v>
      </c>
      <c r="B373" s="15">
        <v>1631.400024</v>
      </c>
      <c r="C373" s="15">
        <v>1644.0</v>
      </c>
      <c r="D373" s="15">
        <v>1613.800049</v>
      </c>
      <c r="E373" s="15">
        <v>1635.650024</v>
      </c>
      <c r="F373" s="15">
        <v>1593.333618</v>
      </c>
      <c r="G373" s="15">
        <v>4563255.0</v>
      </c>
      <c r="H373" s="19">
        <f t="shared" si="1"/>
        <v>0.003589382025</v>
      </c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>
        <v>44893.0</v>
      </c>
      <c r="B374" s="15">
        <v>1628.0</v>
      </c>
      <c r="C374" s="15">
        <v>1653.5</v>
      </c>
      <c r="D374" s="15">
        <v>1620.0</v>
      </c>
      <c r="E374" s="15">
        <v>1623.400024</v>
      </c>
      <c r="F374" s="15">
        <v>1581.400513</v>
      </c>
      <c r="G374" s="15">
        <v>3825766.0</v>
      </c>
      <c r="H374" s="19">
        <f t="shared" si="1"/>
        <v>-0.007489377202</v>
      </c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8">
        <v>44894.0</v>
      </c>
      <c r="B375" s="15">
        <v>1621.199951</v>
      </c>
      <c r="C375" s="15">
        <v>1638.75</v>
      </c>
      <c r="D375" s="15">
        <v>1615.050049</v>
      </c>
      <c r="E375" s="15">
        <v>1629.050049</v>
      </c>
      <c r="F375" s="15">
        <v>1586.904419</v>
      </c>
      <c r="G375" s="15">
        <v>3131710.0</v>
      </c>
      <c r="H375" s="19">
        <f t="shared" si="1"/>
        <v>0.003480365231</v>
      </c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>
        <v>44895.0</v>
      </c>
      <c r="B376" s="15">
        <v>1619.949951</v>
      </c>
      <c r="C376" s="15">
        <v>1645.75</v>
      </c>
      <c r="D376" s="15">
        <v>1613.150024</v>
      </c>
      <c r="E376" s="15">
        <v>1634.949951</v>
      </c>
      <c r="F376" s="15">
        <v>1592.651611</v>
      </c>
      <c r="G376" s="15">
        <v>1.1868134E7</v>
      </c>
      <c r="H376" s="19">
        <f t="shared" si="1"/>
        <v>0.003621682467</v>
      </c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8">
        <v>44896.0</v>
      </c>
      <c r="B377" s="15">
        <v>1656.199951</v>
      </c>
      <c r="C377" s="15">
        <v>1672.599976</v>
      </c>
      <c r="D377" s="15">
        <v>1652.300049</v>
      </c>
      <c r="E377" s="15">
        <v>1657.099976</v>
      </c>
      <c r="F377" s="15">
        <v>1614.228516</v>
      </c>
      <c r="G377" s="15">
        <v>5407928.0</v>
      </c>
      <c r="H377" s="19">
        <f t="shared" si="1"/>
        <v>0.01354783061</v>
      </c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>
        <v>44897.0</v>
      </c>
      <c r="B378" s="15">
        <v>1656.0</v>
      </c>
      <c r="C378" s="15">
        <v>1661.800049</v>
      </c>
      <c r="D378" s="15">
        <v>1633.949951</v>
      </c>
      <c r="E378" s="15">
        <v>1637.900024</v>
      </c>
      <c r="F378" s="15">
        <v>1595.525391</v>
      </c>
      <c r="G378" s="15">
        <v>4283343.0</v>
      </c>
      <c r="H378" s="19">
        <f t="shared" si="1"/>
        <v>-0.01158647775</v>
      </c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8">
        <v>44900.0</v>
      </c>
      <c r="B379" s="15">
        <v>1638.0</v>
      </c>
      <c r="C379" s="15">
        <v>1644.849976</v>
      </c>
      <c r="D379" s="15">
        <v>1623.300049</v>
      </c>
      <c r="E379" s="15">
        <v>1639.75</v>
      </c>
      <c r="F379" s="15">
        <v>1597.327515</v>
      </c>
      <c r="G379" s="15">
        <v>3824966.0</v>
      </c>
      <c r="H379" s="19">
        <f t="shared" si="1"/>
        <v>0.001129480416</v>
      </c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>
        <v>44901.0</v>
      </c>
      <c r="B380" s="15">
        <v>1625.0</v>
      </c>
      <c r="C380" s="15">
        <v>1626.0</v>
      </c>
      <c r="D380" s="15">
        <v>1607.550049</v>
      </c>
      <c r="E380" s="15">
        <v>1612.900024</v>
      </c>
      <c r="F380" s="15">
        <v>1571.172241</v>
      </c>
      <c r="G380" s="15">
        <v>4822398.0</v>
      </c>
      <c r="H380" s="19">
        <f t="shared" si="1"/>
        <v>-0.01637443269</v>
      </c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8">
        <v>44902.0</v>
      </c>
      <c r="B381" s="15">
        <v>1608.0</v>
      </c>
      <c r="C381" s="15">
        <v>1623.800049</v>
      </c>
      <c r="D381" s="15">
        <v>1596.699951</v>
      </c>
      <c r="E381" s="15">
        <v>1605.5</v>
      </c>
      <c r="F381" s="15">
        <v>1563.963623</v>
      </c>
      <c r="G381" s="15">
        <v>4898087.0</v>
      </c>
      <c r="H381" s="19">
        <f t="shared" si="1"/>
        <v>-0.004588023988</v>
      </c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>
        <v>44903.0</v>
      </c>
      <c r="B382" s="15">
        <v>1605.5</v>
      </c>
      <c r="C382" s="15">
        <v>1623.900024</v>
      </c>
      <c r="D382" s="15">
        <v>1598.5</v>
      </c>
      <c r="E382" s="15">
        <v>1620.150024</v>
      </c>
      <c r="F382" s="15">
        <v>1578.234619</v>
      </c>
      <c r="G382" s="15">
        <v>4206837.0</v>
      </c>
      <c r="H382" s="19">
        <f t="shared" si="1"/>
        <v>0.009124898163</v>
      </c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8">
        <v>44904.0</v>
      </c>
      <c r="B383" s="15">
        <v>1628.0</v>
      </c>
      <c r="C383" s="15">
        <v>1628.0</v>
      </c>
      <c r="D383" s="15">
        <v>1561.099976</v>
      </c>
      <c r="E383" s="15">
        <v>1569.300049</v>
      </c>
      <c r="F383" s="15">
        <v>1528.700195</v>
      </c>
      <c r="G383" s="15">
        <v>8880658.0</v>
      </c>
      <c r="H383" s="19">
        <f t="shared" si="1"/>
        <v>-0.03138596688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>
        <v>44907.0</v>
      </c>
      <c r="B384" s="15">
        <v>1550.0</v>
      </c>
      <c r="C384" s="15">
        <v>1565.949951</v>
      </c>
      <c r="D384" s="15">
        <v>1530.050049</v>
      </c>
      <c r="E384" s="15">
        <v>1547.199951</v>
      </c>
      <c r="F384" s="15">
        <v>1507.171875</v>
      </c>
      <c r="G384" s="15">
        <v>8037679.0</v>
      </c>
      <c r="H384" s="19">
        <f t="shared" si="1"/>
        <v>-0.01408277405</v>
      </c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8">
        <v>44908.0</v>
      </c>
      <c r="B385" s="15">
        <v>1547.199951</v>
      </c>
      <c r="C385" s="15">
        <v>1577.5</v>
      </c>
      <c r="D385" s="15">
        <v>1541.150024</v>
      </c>
      <c r="E385" s="15">
        <v>1572.150024</v>
      </c>
      <c r="F385" s="15">
        <v>1531.47644</v>
      </c>
      <c r="G385" s="15">
        <v>6135067.0</v>
      </c>
      <c r="H385" s="19">
        <f t="shared" si="1"/>
        <v>0.01612595255</v>
      </c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>
        <v>44909.0</v>
      </c>
      <c r="B386" s="15">
        <v>1582.0</v>
      </c>
      <c r="C386" s="15">
        <v>1588.5</v>
      </c>
      <c r="D386" s="15">
        <v>1573.0</v>
      </c>
      <c r="E386" s="15">
        <v>1579.400024</v>
      </c>
      <c r="F386" s="15">
        <v>1538.538818</v>
      </c>
      <c r="G386" s="15">
        <v>4976020.0</v>
      </c>
      <c r="H386" s="19">
        <f t="shared" si="1"/>
        <v>0.004611519187</v>
      </c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8">
        <v>44910.0</v>
      </c>
      <c r="B387" s="15">
        <v>1569.300049</v>
      </c>
      <c r="C387" s="15">
        <v>1570.0</v>
      </c>
      <c r="D387" s="15">
        <v>1535.25</v>
      </c>
      <c r="E387" s="15">
        <v>1540.5</v>
      </c>
      <c r="F387" s="15">
        <v>1500.645264</v>
      </c>
      <c r="G387" s="15">
        <v>6443866.0</v>
      </c>
      <c r="H387" s="19">
        <f t="shared" si="1"/>
        <v>-0.024629621</v>
      </c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>
        <v>44911.0</v>
      </c>
      <c r="B388" s="15">
        <v>1525.0</v>
      </c>
      <c r="C388" s="15">
        <v>1549.5</v>
      </c>
      <c r="D388" s="15">
        <v>1512.050049</v>
      </c>
      <c r="E388" s="15">
        <v>1522.199951</v>
      </c>
      <c r="F388" s="15">
        <v>1482.818604</v>
      </c>
      <c r="G388" s="15">
        <v>9630453.0</v>
      </c>
      <c r="H388" s="19">
        <f t="shared" si="1"/>
        <v>-0.01187929179</v>
      </c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8">
        <v>44914.0</v>
      </c>
      <c r="B389" s="15">
        <v>1507.949951</v>
      </c>
      <c r="C389" s="15">
        <v>1516.900024</v>
      </c>
      <c r="D389" s="15">
        <v>1495.050049</v>
      </c>
      <c r="E389" s="15">
        <v>1507.349976</v>
      </c>
      <c r="F389" s="15">
        <v>1468.352783</v>
      </c>
      <c r="G389" s="15">
        <v>6222740.0</v>
      </c>
      <c r="H389" s="19">
        <f t="shared" si="1"/>
        <v>-0.009755600761</v>
      </c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>
        <v>44915.0</v>
      </c>
      <c r="B390" s="15">
        <v>1501.0</v>
      </c>
      <c r="C390" s="15">
        <v>1516.0</v>
      </c>
      <c r="D390" s="15">
        <v>1482.449951</v>
      </c>
      <c r="E390" s="15">
        <v>1507.300049</v>
      </c>
      <c r="F390" s="15">
        <v>1468.304199</v>
      </c>
      <c r="G390" s="15">
        <v>7396259.0</v>
      </c>
      <c r="H390" s="19">
        <f t="shared" si="1"/>
        <v>-0.0000331223676</v>
      </c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8">
        <v>44916.0</v>
      </c>
      <c r="B391" s="15">
        <v>1515.0</v>
      </c>
      <c r="C391" s="15">
        <v>1521.0</v>
      </c>
      <c r="D391" s="15">
        <v>1502.349976</v>
      </c>
      <c r="E391" s="15">
        <v>1509.550049</v>
      </c>
      <c r="F391" s="15">
        <v>1470.495972</v>
      </c>
      <c r="G391" s="15">
        <v>6236361.0</v>
      </c>
      <c r="H391" s="19">
        <f t="shared" si="1"/>
        <v>0.001492735306</v>
      </c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>
        <v>44917.0</v>
      </c>
      <c r="B392" s="15">
        <v>1521.5</v>
      </c>
      <c r="C392" s="15">
        <v>1529.949951</v>
      </c>
      <c r="D392" s="15">
        <v>1511.75</v>
      </c>
      <c r="E392" s="15">
        <v>1522.050049</v>
      </c>
      <c r="F392" s="15">
        <v>1482.672607</v>
      </c>
      <c r="G392" s="15">
        <v>6302640.0</v>
      </c>
      <c r="H392" s="19">
        <f t="shared" si="1"/>
        <v>0.008280613159</v>
      </c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8">
        <v>44918.0</v>
      </c>
      <c r="B393" s="15">
        <v>1508.699951</v>
      </c>
      <c r="C393" s="15">
        <v>1509.900024</v>
      </c>
      <c r="D393" s="15">
        <v>1493.0</v>
      </c>
      <c r="E393" s="15">
        <v>1497.099976</v>
      </c>
      <c r="F393" s="15">
        <v>1458.368042</v>
      </c>
      <c r="G393" s="15">
        <v>6283822.0</v>
      </c>
      <c r="H393" s="19">
        <f t="shared" si="1"/>
        <v>-0.01639241299</v>
      </c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>
        <v>44921.0</v>
      </c>
      <c r="B394" s="15">
        <v>1500.5</v>
      </c>
      <c r="C394" s="15">
        <v>1509.900024</v>
      </c>
      <c r="D394" s="15">
        <v>1496.349976</v>
      </c>
      <c r="E394" s="15">
        <v>1502.400024</v>
      </c>
      <c r="F394" s="15">
        <v>1463.531006</v>
      </c>
      <c r="G394" s="15">
        <v>4115459.0</v>
      </c>
      <c r="H394" s="19">
        <f t="shared" si="1"/>
        <v>0.003540209796</v>
      </c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8">
        <v>44922.0</v>
      </c>
      <c r="B395" s="15">
        <v>1509.949951</v>
      </c>
      <c r="C395" s="15">
        <v>1521.449951</v>
      </c>
      <c r="D395" s="15">
        <v>1497.5</v>
      </c>
      <c r="E395" s="15">
        <v>1514.849976</v>
      </c>
      <c r="F395" s="15">
        <v>1475.658813</v>
      </c>
      <c r="G395" s="15">
        <v>4860076.0</v>
      </c>
      <c r="H395" s="19">
        <f t="shared" si="1"/>
        <v>0.008286709133</v>
      </c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>
        <v>44923.0</v>
      </c>
      <c r="B396" s="15">
        <v>1505.099976</v>
      </c>
      <c r="C396" s="15">
        <v>1524.949951</v>
      </c>
      <c r="D396" s="15">
        <v>1498.5</v>
      </c>
      <c r="E396" s="15">
        <v>1510.150024</v>
      </c>
      <c r="F396" s="15">
        <v>1471.080444</v>
      </c>
      <c r="G396" s="15">
        <v>5029860.0</v>
      </c>
      <c r="H396" s="19">
        <f t="shared" si="1"/>
        <v>-0.003102585784</v>
      </c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8">
        <v>44924.0</v>
      </c>
      <c r="B397" s="15">
        <v>1504.0</v>
      </c>
      <c r="C397" s="15">
        <v>1521.300049</v>
      </c>
      <c r="D397" s="15">
        <v>1501.0</v>
      </c>
      <c r="E397" s="15">
        <v>1517.550049</v>
      </c>
      <c r="F397" s="15">
        <v>1478.289063</v>
      </c>
      <c r="G397" s="15">
        <v>4624745.0</v>
      </c>
      <c r="H397" s="19">
        <f t="shared" si="1"/>
        <v>0.004900191956</v>
      </c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>
        <v>44925.0</v>
      </c>
      <c r="B398" s="15">
        <v>1528.0</v>
      </c>
      <c r="C398" s="15">
        <v>1530.400024</v>
      </c>
      <c r="D398" s="15">
        <v>1504.050049</v>
      </c>
      <c r="E398" s="15">
        <v>1508.199951</v>
      </c>
      <c r="F398" s="15">
        <v>1469.180786</v>
      </c>
      <c r="G398" s="15">
        <v>5060544.0</v>
      </c>
      <c r="H398" s="19">
        <f t="shared" si="1"/>
        <v>-0.006161311125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8">
        <v>44928.0</v>
      </c>
      <c r="B399" s="15">
        <v>1514.0</v>
      </c>
      <c r="C399" s="15">
        <v>1526.5</v>
      </c>
      <c r="D399" s="15">
        <v>1504.050049</v>
      </c>
      <c r="E399" s="15">
        <v>1524.0</v>
      </c>
      <c r="F399" s="15">
        <v>1484.572021</v>
      </c>
      <c r="G399" s="15">
        <v>3801140.0</v>
      </c>
      <c r="H399" s="19">
        <f t="shared" si="1"/>
        <v>0.01047609701</v>
      </c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>
        <v>44929.0</v>
      </c>
      <c r="B400" s="15">
        <v>1519.849976</v>
      </c>
      <c r="C400" s="15">
        <v>1532.650024</v>
      </c>
      <c r="D400" s="15">
        <v>1515.099976</v>
      </c>
      <c r="E400" s="15">
        <v>1522.550049</v>
      </c>
      <c r="F400" s="15">
        <v>1483.159668</v>
      </c>
      <c r="G400" s="15">
        <v>4551130.0</v>
      </c>
      <c r="H400" s="19">
        <f t="shared" si="1"/>
        <v>-0.0009514114173</v>
      </c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8">
        <v>44930.0</v>
      </c>
      <c r="B401" s="15">
        <v>1521.0</v>
      </c>
      <c r="C401" s="15">
        <v>1521.0</v>
      </c>
      <c r="D401" s="15">
        <v>1491.099976</v>
      </c>
      <c r="E401" s="15">
        <v>1494.800049</v>
      </c>
      <c r="F401" s="15">
        <v>1456.127686</v>
      </c>
      <c r="G401" s="15">
        <v>7059590.0</v>
      </c>
      <c r="H401" s="19">
        <f t="shared" si="1"/>
        <v>-0.01822600184</v>
      </c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>
        <v>44931.0</v>
      </c>
      <c r="B402" s="15">
        <v>1505.900024</v>
      </c>
      <c r="C402" s="15">
        <v>1505.900024</v>
      </c>
      <c r="D402" s="15">
        <v>1469.25</v>
      </c>
      <c r="E402" s="15">
        <v>1475.199951</v>
      </c>
      <c r="F402" s="15">
        <v>1437.034546</v>
      </c>
      <c r="G402" s="15">
        <v>9868404.0</v>
      </c>
      <c r="H402" s="19">
        <f t="shared" si="1"/>
        <v>-0.01311218715</v>
      </c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8">
        <v>44932.0</v>
      </c>
      <c r="B403" s="15">
        <v>1470.0</v>
      </c>
      <c r="C403" s="15">
        <v>1475.0</v>
      </c>
      <c r="D403" s="15">
        <v>1446.5</v>
      </c>
      <c r="E403" s="15">
        <v>1448.5</v>
      </c>
      <c r="F403" s="15">
        <v>1411.025391</v>
      </c>
      <c r="G403" s="15">
        <v>6443714.0</v>
      </c>
      <c r="H403" s="19">
        <f t="shared" si="1"/>
        <v>-0.01809920817</v>
      </c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>
        <v>44935.0</v>
      </c>
      <c r="B404" s="15">
        <v>1448.199951</v>
      </c>
      <c r="C404" s="15">
        <v>1489.349976</v>
      </c>
      <c r="D404" s="15">
        <v>1448.199951</v>
      </c>
      <c r="E404" s="15">
        <v>1484.449951</v>
      </c>
      <c r="F404" s="15">
        <v>1446.045288</v>
      </c>
      <c r="G404" s="15">
        <v>1.1498717E7</v>
      </c>
      <c r="H404" s="19">
        <f t="shared" si="1"/>
        <v>0.02481874422</v>
      </c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8">
        <v>44936.0</v>
      </c>
      <c r="B405" s="15">
        <v>1482.0</v>
      </c>
      <c r="C405" s="15">
        <v>1483.900024</v>
      </c>
      <c r="D405" s="15">
        <v>1454.050049</v>
      </c>
      <c r="E405" s="15">
        <v>1469.75</v>
      </c>
      <c r="F405" s="15">
        <v>1431.725586</v>
      </c>
      <c r="G405" s="15">
        <v>7158624.0</v>
      </c>
      <c r="H405" s="19">
        <f t="shared" si="1"/>
        <v>-0.009902624868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>
        <v>44937.0</v>
      </c>
      <c r="B406" s="15">
        <v>1470.0</v>
      </c>
      <c r="C406" s="15">
        <v>1494.0</v>
      </c>
      <c r="D406" s="15">
        <v>1464.0</v>
      </c>
      <c r="E406" s="15">
        <v>1471.25</v>
      </c>
      <c r="F406" s="15">
        <v>1433.186768</v>
      </c>
      <c r="G406" s="15">
        <v>6173092.0</v>
      </c>
      <c r="H406" s="19">
        <f t="shared" si="1"/>
        <v>0.001020581732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8">
        <v>44938.0</v>
      </c>
      <c r="B407" s="15">
        <v>1481.949951</v>
      </c>
      <c r="C407" s="15">
        <v>1485.0</v>
      </c>
      <c r="D407" s="15">
        <v>1455.0</v>
      </c>
      <c r="E407" s="15">
        <v>1480.599976</v>
      </c>
      <c r="F407" s="15">
        <v>1442.294922</v>
      </c>
      <c r="G407" s="15">
        <v>6591385.0</v>
      </c>
      <c r="H407" s="19">
        <f t="shared" si="1"/>
        <v>0.006355123874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>
        <v>44939.0</v>
      </c>
      <c r="B408" s="15">
        <v>1483.5</v>
      </c>
      <c r="C408" s="15">
        <v>1519.400024</v>
      </c>
      <c r="D408" s="15">
        <v>1468.0</v>
      </c>
      <c r="E408" s="15">
        <v>1503.650024</v>
      </c>
      <c r="F408" s="15">
        <v>1464.748535</v>
      </c>
      <c r="G408" s="15">
        <v>1.1610426E7</v>
      </c>
      <c r="H408" s="19">
        <f t="shared" si="1"/>
        <v>0.01556804564</v>
      </c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8">
        <v>44942.0</v>
      </c>
      <c r="B409" s="15">
        <v>1510.0</v>
      </c>
      <c r="C409" s="15">
        <v>1528.0</v>
      </c>
      <c r="D409" s="15">
        <v>1502.300049</v>
      </c>
      <c r="E409" s="15">
        <v>1525.5</v>
      </c>
      <c r="F409" s="15">
        <v>1486.033325</v>
      </c>
      <c r="G409" s="15">
        <v>6073063.0</v>
      </c>
      <c r="H409" s="19">
        <f t="shared" si="1"/>
        <v>0.01453129096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>
        <v>44943.0</v>
      </c>
      <c r="B410" s="15">
        <v>1527.0</v>
      </c>
      <c r="C410" s="15">
        <v>1542.199951</v>
      </c>
      <c r="D410" s="15">
        <v>1524.0</v>
      </c>
      <c r="E410" s="15">
        <v>1539.5</v>
      </c>
      <c r="F410" s="15">
        <v>1499.671021</v>
      </c>
      <c r="G410" s="15">
        <v>5922644.0</v>
      </c>
      <c r="H410" s="19">
        <f t="shared" si="1"/>
        <v>0.009177318912</v>
      </c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8">
        <v>44944.0</v>
      </c>
      <c r="B411" s="15">
        <v>1544.75</v>
      </c>
      <c r="C411" s="15">
        <v>1551.849976</v>
      </c>
      <c r="D411" s="15">
        <v>1539.599976</v>
      </c>
      <c r="E411" s="15">
        <v>1545.400024</v>
      </c>
      <c r="F411" s="15">
        <v>1505.418457</v>
      </c>
      <c r="G411" s="15">
        <v>5843098.0</v>
      </c>
      <c r="H411" s="19">
        <f t="shared" si="1"/>
        <v>0.003832428711</v>
      </c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>
        <v>44945.0</v>
      </c>
      <c r="B412" s="15">
        <v>1539.900024</v>
      </c>
      <c r="C412" s="15">
        <v>1549.550049</v>
      </c>
      <c r="D412" s="15">
        <v>1526.150024</v>
      </c>
      <c r="E412" s="15">
        <v>1538.900024</v>
      </c>
      <c r="F412" s="15">
        <v>1499.086548</v>
      </c>
      <c r="G412" s="15">
        <v>6165284.0</v>
      </c>
      <c r="H412" s="19">
        <f t="shared" si="1"/>
        <v>-0.004206030736</v>
      </c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8">
        <v>44946.0</v>
      </c>
      <c r="B413" s="15">
        <v>1538.0</v>
      </c>
      <c r="C413" s="15">
        <v>1545.0</v>
      </c>
      <c r="D413" s="15">
        <v>1524.0</v>
      </c>
      <c r="E413" s="15">
        <v>1525.550049</v>
      </c>
      <c r="F413" s="15">
        <v>1486.082031</v>
      </c>
      <c r="G413" s="15">
        <v>6496429.0</v>
      </c>
      <c r="H413" s="19">
        <f t="shared" si="1"/>
        <v>-0.008675011236</v>
      </c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>
        <v>44949.0</v>
      </c>
      <c r="B414" s="15">
        <v>1535.0</v>
      </c>
      <c r="C414" s="15">
        <v>1553.300049</v>
      </c>
      <c r="D414" s="15">
        <v>1528.099976</v>
      </c>
      <c r="E414" s="15">
        <v>1548.0</v>
      </c>
      <c r="F414" s="15">
        <v>1507.951172</v>
      </c>
      <c r="G414" s="15">
        <v>4855020.0</v>
      </c>
      <c r="H414" s="19">
        <f t="shared" si="1"/>
        <v>0.01471597147</v>
      </c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8">
        <v>44950.0</v>
      </c>
      <c r="B415" s="15">
        <v>1560.0</v>
      </c>
      <c r="C415" s="15">
        <v>1568.800049</v>
      </c>
      <c r="D415" s="15">
        <v>1549.75</v>
      </c>
      <c r="E415" s="15">
        <v>1551.900024</v>
      </c>
      <c r="F415" s="15">
        <v>1511.750366</v>
      </c>
      <c r="G415" s="15">
        <v>5200802.0</v>
      </c>
      <c r="H415" s="19">
        <f t="shared" si="1"/>
        <v>0.002519395349</v>
      </c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>
        <v>44951.0</v>
      </c>
      <c r="B416" s="15">
        <v>1547.0</v>
      </c>
      <c r="C416" s="15">
        <v>1556.0</v>
      </c>
      <c r="D416" s="15">
        <v>1538.75</v>
      </c>
      <c r="E416" s="15">
        <v>1543.0</v>
      </c>
      <c r="F416" s="15">
        <v>1503.080566</v>
      </c>
      <c r="G416" s="15">
        <v>4158617.0</v>
      </c>
      <c r="H416" s="19">
        <f t="shared" si="1"/>
        <v>-0.005734920976</v>
      </c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8">
        <v>44953.0</v>
      </c>
      <c r="B417" s="15">
        <v>1546.0</v>
      </c>
      <c r="C417" s="15">
        <v>1550.949951</v>
      </c>
      <c r="D417" s="15">
        <v>1507.400024</v>
      </c>
      <c r="E417" s="15">
        <v>1519.150024</v>
      </c>
      <c r="F417" s="15">
        <v>1479.847534</v>
      </c>
      <c r="G417" s="15">
        <v>6209955.0</v>
      </c>
      <c r="H417" s="19">
        <f t="shared" si="1"/>
        <v>-0.01545688658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>
        <v>44956.0</v>
      </c>
      <c r="B418" s="15">
        <v>1528.800049</v>
      </c>
      <c r="C418" s="15">
        <v>1544.0</v>
      </c>
      <c r="D418" s="15">
        <v>1520.0</v>
      </c>
      <c r="E418" s="15">
        <v>1538.800049</v>
      </c>
      <c r="F418" s="15">
        <v>1498.989258</v>
      </c>
      <c r="G418" s="15">
        <v>6964719.0</v>
      </c>
      <c r="H418" s="19">
        <f t="shared" si="1"/>
        <v>0.01293488114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8">
        <v>44957.0</v>
      </c>
      <c r="B419" s="15">
        <v>1548.900024</v>
      </c>
      <c r="C419" s="15">
        <v>1548.900024</v>
      </c>
      <c r="D419" s="15">
        <v>1513.0</v>
      </c>
      <c r="E419" s="15">
        <v>1533.75</v>
      </c>
      <c r="F419" s="15">
        <v>1494.069824</v>
      </c>
      <c r="G419" s="15">
        <v>9448126.0</v>
      </c>
      <c r="H419" s="19">
        <f t="shared" si="1"/>
        <v>-0.003281809747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>
        <v>44958.0</v>
      </c>
      <c r="B420" s="15">
        <v>1542.199951</v>
      </c>
      <c r="C420" s="15">
        <v>1555.050049</v>
      </c>
      <c r="D420" s="15">
        <v>1528.050049</v>
      </c>
      <c r="E420" s="15">
        <v>1551.099976</v>
      </c>
      <c r="F420" s="15">
        <v>1510.970947</v>
      </c>
      <c r="G420" s="15">
        <v>6194199.0</v>
      </c>
      <c r="H420" s="19">
        <f t="shared" si="1"/>
        <v>0.01131212779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8">
        <v>44959.0</v>
      </c>
      <c r="B421" s="15">
        <v>1552.0</v>
      </c>
      <c r="C421" s="15">
        <v>1586.949951</v>
      </c>
      <c r="D421" s="15">
        <v>1552.0</v>
      </c>
      <c r="E421" s="15">
        <v>1583.75</v>
      </c>
      <c r="F421" s="15">
        <v>1542.776367</v>
      </c>
      <c r="G421" s="15">
        <v>6916834.0</v>
      </c>
      <c r="H421" s="19">
        <f t="shared" si="1"/>
        <v>0.02104959352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>
        <v>44960.0</v>
      </c>
      <c r="B422" s="15">
        <v>1597.5</v>
      </c>
      <c r="C422" s="15">
        <v>1604.650024</v>
      </c>
      <c r="D422" s="15">
        <v>1573.0</v>
      </c>
      <c r="E422" s="15">
        <v>1599.400024</v>
      </c>
      <c r="F422" s="15">
        <v>1558.021362</v>
      </c>
      <c r="G422" s="15">
        <v>7040194.0</v>
      </c>
      <c r="H422" s="19">
        <f t="shared" si="1"/>
        <v>0.009881625257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8">
        <v>44963.0</v>
      </c>
      <c r="B423" s="15">
        <v>1598.0</v>
      </c>
      <c r="C423" s="15">
        <v>1598.0</v>
      </c>
      <c r="D423" s="15">
        <v>1561.599976</v>
      </c>
      <c r="E423" s="15">
        <v>1569.849976</v>
      </c>
      <c r="F423" s="15">
        <v>1529.235962</v>
      </c>
      <c r="G423" s="15">
        <v>4570612.0</v>
      </c>
      <c r="H423" s="19">
        <f t="shared" si="1"/>
        <v>-0.01847570811</v>
      </c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>
        <v>44964.0</v>
      </c>
      <c r="B424" s="15">
        <v>1569.0</v>
      </c>
      <c r="C424" s="15">
        <v>1576.050049</v>
      </c>
      <c r="D424" s="15">
        <v>1555.099976</v>
      </c>
      <c r="E424" s="15">
        <v>1562.400024</v>
      </c>
      <c r="F424" s="15">
        <v>1521.978638</v>
      </c>
      <c r="G424" s="15">
        <v>4336238.0</v>
      </c>
      <c r="H424" s="19">
        <f t="shared" si="1"/>
        <v>-0.004745645835</v>
      </c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8">
        <v>44965.0</v>
      </c>
      <c r="B425" s="15">
        <v>1565.5</v>
      </c>
      <c r="C425" s="15">
        <v>1603.0</v>
      </c>
      <c r="D425" s="15">
        <v>1565.5</v>
      </c>
      <c r="E425" s="15">
        <v>1590.5</v>
      </c>
      <c r="F425" s="15">
        <v>1549.351685</v>
      </c>
      <c r="G425" s="15">
        <v>7983338.0</v>
      </c>
      <c r="H425" s="19">
        <f t="shared" si="1"/>
        <v>0.01798513541</v>
      </c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>
        <v>44966.0</v>
      </c>
      <c r="B426" s="15">
        <v>1596.199951</v>
      </c>
      <c r="C426" s="15">
        <v>1619.75</v>
      </c>
      <c r="D426" s="15">
        <v>1586.050049</v>
      </c>
      <c r="E426" s="15">
        <v>1617.0</v>
      </c>
      <c r="F426" s="15">
        <v>1575.166016</v>
      </c>
      <c r="G426" s="15">
        <v>6904911.0</v>
      </c>
      <c r="H426" s="19">
        <f t="shared" si="1"/>
        <v>0.01666142722</v>
      </c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8">
        <v>44967.0</v>
      </c>
      <c r="B427" s="15">
        <v>1612.949951</v>
      </c>
      <c r="C427" s="15">
        <v>1616.300049</v>
      </c>
      <c r="D427" s="15">
        <v>1596.449951</v>
      </c>
      <c r="E427" s="15">
        <v>1608.550049</v>
      </c>
      <c r="F427" s="15">
        <v>1566.934692</v>
      </c>
      <c r="G427" s="15">
        <v>4786762.0</v>
      </c>
      <c r="H427" s="19">
        <f t="shared" si="1"/>
        <v>-0.005225696351</v>
      </c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>
        <v>44970.0</v>
      </c>
      <c r="B428" s="15">
        <v>1597.0</v>
      </c>
      <c r="C428" s="15">
        <v>1597.0</v>
      </c>
      <c r="D428" s="15">
        <v>1566.0</v>
      </c>
      <c r="E428" s="15">
        <v>1567.449951</v>
      </c>
      <c r="F428" s="15">
        <v>1526.897949</v>
      </c>
      <c r="G428" s="15">
        <v>4001199.0</v>
      </c>
      <c r="H428" s="19">
        <f t="shared" si="1"/>
        <v>-0.02555102219</v>
      </c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8">
        <v>44971.0</v>
      </c>
      <c r="B429" s="15">
        <v>1584.699951</v>
      </c>
      <c r="C429" s="15">
        <v>1596.0</v>
      </c>
      <c r="D429" s="15">
        <v>1578.150024</v>
      </c>
      <c r="E429" s="15">
        <v>1593.25</v>
      </c>
      <c r="F429" s="15">
        <v>1552.030518</v>
      </c>
      <c r="G429" s="15">
        <v>5043736.0</v>
      </c>
      <c r="H429" s="19">
        <f t="shared" si="1"/>
        <v>0.01645988695</v>
      </c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>
        <v>44972.0</v>
      </c>
      <c r="B430" s="15">
        <v>1584.0</v>
      </c>
      <c r="C430" s="15">
        <v>1599.0</v>
      </c>
      <c r="D430" s="15">
        <v>1576.0</v>
      </c>
      <c r="E430" s="15">
        <v>1597.050049</v>
      </c>
      <c r="F430" s="15">
        <v>1555.7323</v>
      </c>
      <c r="G430" s="15">
        <v>3465747.0</v>
      </c>
      <c r="H430" s="19">
        <f t="shared" si="1"/>
        <v>0.002385092735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8">
        <v>44973.0</v>
      </c>
      <c r="B431" s="15">
        <v>1600.0</v>
      </c>
      <c r="C431" s="15">
        <v>1614.449951</v>
      </c>
      <c r="D431" s="15">
        <v>1597.849976</v>
      </c>
      <c r="E431" s="15">
        <v>1601.800049</v>
      </c>
      <c r="F431" s="15">
        <v>1560.359253</v>
      </c>
      <c r="G431" s="15">
        <v>4290289.0</v>
      </c>
      <c r="H431" s="19">
        <f t="shared" si="1"/>
        <v>0.002974233652</v>
      </c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>
        <v>44974.0</v>
      </c>
      <c r="B432" s="15">
        <v>1594.0</v>
      </c>
      <c r="C432" s="15">
        <v>1595.0</v>
      </c>
      <c r="D432" s="15">
        <v>1575.5</v>
      </c>
      <c r="E432" s="15">
        <v>1583.800049</v>
      </c>
      <c r="F432" s="15">
        <v>1542.825073</v>
      </c>
      <c r="G432" s="15">
        <v>2857734.0</v>
      </c>
      <c r="H432" s="19">
        <f t="shared" si="1"/>
        <v>-0.01123735763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8">
        <v>44977.0</v>
      </c>
      <c r="B433" s="15">
        <v>1584.949951</v>
      </c>
      <c r="C433" s="15">
        <v>1603.0</v>
      </c>
      <c r="D433" s="15">
        <v>1582.5</v>
      </c>
      <c r="E433" s="15">
        <v>1592.449951</v>
      </c>
      <c r="F433" s="15">
        <v>1551.251099</v>
      </c>
      <c r="G433" s="15">
        <v>2417716.0</v>
      </c>
      <c r="H433" s="19">
        <f t="shared" si="1"/>
        <v>0.00546148613</v>
      </c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>
        <v>44978.0</v>
      </c>
      <c r="B434" s="15">
        <v>1598.699951</v>
      </c>
      <c r="C434" s="15">
        <v>1601.650024</v>
      </c>
      <c r="D434" s="15">
        <v>1576.0</v>
      </c>
      <c r="E434" s="15">
        <v>1579.5</v>
      </c>
      <c r="F434" s="15">
        <v>1538.63623</v>
      </c>
      <c r="G434" s="15">
        <v>2723288.0</v>
      </c>
      <c r="H434" s="19">
        <f t="shared" si="1"/>
        <v>-0.008132092938</v>
      </c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8">
        <v>44979.0</v>
      </c>
      <c r="B435" s="15">
        <v>1563.0</v>
      </c>
      <c r="C435" s="15">
        <v>1575.0</v>
      </c>
      <c r="D435" s="15">
        <v>1555.300049</v>
      </c>
      <c r="E435" s="15">
        <v>1561.800049</v>
      </c>
      <c r="F435" s="15">
        <v>1521.394165</v>
      </c>
      <c r="G435" s="15">
        <v>3656244.0</v>
      </c>
      <c r="H435" s="19">
        <f t="shared" si="1"/>
        <v>-0.01120604685</v>
      </c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>
        <v>44980.0</v>
      </c>
      <c r="B436" s="15">
        <v>1569.849976</v>
      </c>
      <c r="C436" s="15">
        <v>1569.849976</v>
      </c>
      <c r="D436" s="15">
        <v>1548.150024</v>
      </c>
      <c r="E436" s="15">
        <v>1550.699951</v>
      </c>
      <c r="F436" s="15">
        <v>1510.581299</v>
      </c>
      <c r="G436" s="15">
        <v>4766854.0</v>
      </c>
      <c r="H436" s="19">
        <f t="shared" si="1"/>
        <v>-0.007107246544</v>
      </c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8">
        <v>44981.0</v>
      </c>
      <c r="B437" s="15">
        <v>1560.0</v>
      </c>
      <c r="C437" s="15">
        <v>1569.0</v>
      </c>
      <c r="D437" s="15">
        <v>1545.0</v>
      </c>
      <c r="E437" s="15">
        <v>1550.650024</v>
      </c>
      <c r="F437" s="15">
        <v>1510.532715</v>
      </c>
      <c r="G437" s="15">
        <v>2790986.0</v>
      </c>
      <c r="H437" s="19">
        <f t="shared" si="1"/>
        <v>-0.00003219642844</v>
      </c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>
        <v>44984.0</v>
      </c>
      <c r="B438" s="15">
        <v>1540.0</v>
      </c>
      <c r="C438" s="15">
        <v>1540.0</v>
      </c>
      <c r="D438" s="15">
        <v>1502.0</v>
      </c>
      <c r="E438" s="15">
        <v>1509.300049</v>
      </c>
      <c r="F438" s="15">
        <v>1470.252441</v>
      </c>
      <c r="G438" s="15">
        <v>4920268.0</v>
      </c>
      <c r="H438" s="19">
        <f t="shared" si="1"/>
        <v>-0.0266662202</v>
      </c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8">
        <v>44985.0</v>
      </c>
      <c r="B439" s="15">
        <v>1515.599976</v>
      </c>
      <c r="C439" s="15">
        <v>1524.0</v>
      </c>
      <c r="D439" s="15">
        <v>1481.300049</v>
      </c>
      <c r="E439" s="15">
        <v>1487.550049</v>
      </c>
      <c r="F439" s="15">
        <v>1449.065063</v>
      </c>
      <c r="G439" s="15">
        <v>9679811.0</v>
      </c>
      <c r="H439" s="19">
        <f t="shared" si="1"/>
        <v>-0.01441065348</v>
      </c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>
        <v>44986.0</v>
      </c>
      <c r="B440" s="15">
        <v>1492.400024</v>
      </c>
      <c r="C440" s="15">
        <v>1500.849976</v>
      </c>
      <c r="D440" s="15">
        <v>1481.5</v>
      </c>
      <c r="E440" s="15">
        <v>1496.050049</v>
      </c>
      <c r="F440" s="15">
        <v>1457.345215</v>
      </c>
      <c r="G440" s="15">
        <v>5125043.0</v>
      </c>
      <c r="H440" s="19">
        <f t="shared" si="1"/>
        <v>0.005714093456</v>
      </c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8">
        <v>44987.0</v>
      </c>
      <c r="B441" s="15">
        <v>1485.0</v>
      </c>
      <c r="C441" s="15">
        <v>1488.599976</v>
      </c>
      <c r="D441" s="15">
        <v>1467.300049</v>
      </c>
      <c r="E441" s="15">
        <v>1472.150024</v>
      </c>
      <c r="F441" s="15">
        <v>1434.063599</v>
      </c>
      <c r="G441" s="15">
        <v>4644499.0</v>
      </c>
      <c r="H441" s="19">
        <f t="shared" si="1"/>
        <v>-0.01597541808</v>
      </c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>
        <v>44988.0</v>
      </c>
      <c r="B442" s="15">
        <v>1486.75</v>
      </c>
      <c r="C442" s="15">
        <v>1489.800049</v>
      </c>
      <c r="D442" s="15">
        <v>1473.0</v>
      </c>
      <c r="E442" s="15">
        <v>1479.300049</v>
      </c>
      <c r="F442" s="15">
        <v>1441.028687</v>
      </c>
      <c r="G442" s="15">
        <v>4615015.0</v>
      </c>
      <c r="H442" s="19">
        <f t="shared" si="1"/>
        <v>0.004856858937</v>
      </c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8">
        <v>44991.0</v>
      </c>
      <c r="B443" s="15">
        <v>1494.550049</v>
      </c>
      <c r="C443" s="15">
        <v>1520.400024</v>
      </c>
      <c r="D443" s="15">
        <v>1493.150024</v>
      </c>
      <c r="E443" s="15">
        <v>1507.449951</v>
      </c>
      <c r="F443" s="15">
        <v>1468.450195</v>
      </c>
      <c r="G443" s="15">
        <v>6561742.0</v>
      </c>
      <c r="H443" s="19">
        <f t="shared" si="1"/>
        <v>0.01902920372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>
        <v>44993.0</v>
      </c>
      <c r="B444" s="15">
        <v>1490.550049</v>
      </c>
      <c r="C444" s="15">
        <v>1496.0</v>
      </c>
      <c r="D444" s="15">
        <v>1481.099976</v>
      </c>
      <c r="E444" s="15">
        <v>1492.699951</v>
      </c>
      <c r="F444" s="15">
        <v>1454.081787</v>
      </c>
      <c r="G444" s="15">
        <v>4137080.0</v>
      </c>
      <c r="H444" s="19">
        <f t="shared" si="1"/>
        <v>-0.00978473613</v>
      </c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8">
        <v>44994.0</v>
      </c>
      <c r="B445" s="15">
        <v>1495.0</v>
      </c>
      <c r="C445" s="15">
        <v>1498.349976</v>
      </c>
      <c r="D445" s="15">
        <v>1474.599976</v>
      </c>
      <c r="E445" s="15">
        <v>1480.400024</v>
      </c>
      <c r="F445" s="15">
        <v>1442.100098</v>
      </c>
      <c r="G445" s="15">
        <v>5104656.0</v>
      </c>
      <c r="H445" s="19">
        <f t="shared" si="1"/>
        <v>-0.008240053195</v>
      </c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>
        <v>44995.0</v>
      </c>
      <c r="B446" s="15">
        <v>1460.0</v>
      </c>
      <c r="C446" s="15">
        <v>1474.300049</v>
      </c>
      <c r="D446" s="15">
        <v>1457.650024</v>
      </c>
      <c r="E446" s="15">
        <v>1471.550049</v>
      </c>
      <c r="F446" s="15">
        <v>1433.479126</v>
      </c>
      <c r="G446" s="15">
        <v>3699580.0</v>
      </c>
      <c r="H446" s="19">
        <f t="shared" si="1"/>
        <v>-0.005978097039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8">
        <v>44998.0</v>
      </c>
      <c r="B447" s="15">
        <v>1464.199951</v>
      </c>
      <c r="C447" s="15">
        <v>1478.300049</v>
      </c>
      <c r="D447" s="15">
        <v>1428.0</v>
      </c>
      <c r="E447" s="15">
        <v>1435.099976</v>
      </c>
      <c r="F447" s="15">
        <v>1397.972046</v>
      </c>
      <c r="G447" s="15">
        <v>8798403.0</v>
      </c>
      <c r="H447" s="19">
        <f t="shared" si="1"/>
        <v>-0.02476984933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>
        <v>44999.0</v>
      </c>
      <c r="B448" s="15">
        <v>1441.0</v>
      </c>
      <c r="C448" s="15">
        <v>1448.349976</v>
      </c>
      <c r="D448" s="15">
        <v>1411.0</v>
      </c>
      <c r="E448" s="15">
        <v>1420.0</v>
      </c>
      <c r="F448" s="15">
        <v>1383.262817</v>
      </c>
      <c r="G448" s="15">
        <v>7402784.0</v>
      </c>
      <c r="H448" s="19">
        <f t="shared" si="1"/>
        <v>-0.0105218983</v>
      </c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8">
        <v>45000.0</v>
      </c>
      <c r="B449" s="15">
        <v>1438.0</v>
      </c>
      <c r="C449" s="15">
        <v>1442.849976</v>
      </c>
      <c r="D449" s="15">
        <v>1416.849976</v>
      </c>
      <c r="E449" s="15">
        <v>1419.650024</v>
      </c>
      <c r="F449" s="15">
        <v>1382.921875</v>
      </c>
      <c r="G449" s="15">
        <v>7556182.0</v>
      </c>
      <c r="H449" s="19">
        <f t="shared" si="1"/>
        <v>-0.0002464619718</v>
      </c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>
        <v>45001.0</v>
      </c>
      <c r="B450" s="15">
        <v>1417.800049</v>
      </c>
      <c r="C450" s="15">
        <v>1417.800049</v>
      </c>
      <c r="D450" s="15">
        <v>1398.699951</v>
      </c>
      <c r="E450" s="15">
        <v>1404.099976</v>
      </c>
      <c r="F450" s="15">
        <v>1367.774048</v>
      </c>
      <c r="G450" s="15">
        <v>7323117.0</v>
      </c>
      <c r="H450" s="19">
        <f t="shared" si="1"/>
        <v>-0.01095343763</v>
      </c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8">
        <v>45002.0</v>
      </c>
      <c r="B451" s="15">
        <v>1430.0</v>
      </c>
      <c r="C451" s="15">
        <v>1442.900024</v>
      </c>
      <c r="D451" s="15">
        <v>1411.400024</v>
      </c>
      <c r="E451" s="15">
        <v>1420.699951</v>
      </c>
      <c r="F451" s="15">
        <v>1383.94458</v>
      </c>
      <c r="G451" s="15">
        <v>9090018.0</v>
      </c>
      <c r="H451" s="19">
        <f t="shared" si="1"/>
        <v>0.01182250216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>
        <v>45005.0</v>
      </c>
      <c r="B452" s="15">
        <v>1419.699951</v>
      </c>
      <c r="C452" s="15">
        <v>1419.699951</v>
      </c>
      <c r="D452" s="15">
        <v>1384.849976</v>
      </c>
      <c r="E452" s="15">
        <v>1403.650024</v>
      </c>
      <c r="F452" s="15">
        <v>1367.335693</v>
      </c>
      <c r="G452" s="15">
        <v>8221829.0</v>
      </c>
      <c r="H452" s="19">
        <f t="shared" si="1"/>
        <v>-0.01200107524</v>
      </c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8">
        <v>45006.0</v>
      </c>
      <c r="B453" s="15">
        <v>1399.0</v>
      </c>
      <c r="C453" s="15">
        <v>1405.0</v>
      </c>
      <c r="D453" s="15">
        <v>1390.0</v>
      </c>
      <c r="E453" s="15">
        <v>1390.699951</v>
      </c>
      <c r="F453" s="15">
        <v>1354.720703</v>
      </c>
      <c r="G453" s="15">
        <v>8536755.0</v>
      </c>
      <c r="H453" s="19">
        <f t="shared" si="1"/>
        <v>-0.009225998489</v>
      </c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>
        <v>45007.0</v>
      </c>
      <c r="B454" s="15">
        <v>1403.0</v>
      </c>
      <c r="C454" s="15">
        <v>1407.25</v>
      </c>
      <c r="D454" s="15">
        <v>1382.150024</v>
      </c>
      <c r="E454" s="15">
        <v>1389.25</v>
      </c>
      <c r="F454" s="15">
        <v>1353.30835</v>
      </c>
      <c r="G454" s="15">
        <v>8356487.0</v>
      </c>
      <c r="H454" s="19">
        <f t="shared" si="1"/>
        <v>-0.0010426052</v>
      </c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8">
        <v>45008.0</v>
      </c>
      <c r="B455" s="15">
        <v>1383.949951</v>
      </c>
      <c r="C455" s="15">
        <v>1383.949951</v>
      </c>
      <c r="D455" s="15">
        <v>1370.0</v>
      </c>
      <c r="E455" s="15">
        <v>1374.550049</v>
      </c>
      <c r="F455" s="15">
        <v>1338.988647</v>
      </c>
      <c r="G455" s="15">
        <v>7607718.0</v>
      </c>
      <c r="H455" s="19">
        <f t="shared" si="1"/>
        <v>-0.0105812136</v>
      </c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8">
        <v>45009.0</v>
      </c>
      <c r="B456" s="15">
        <v>1388.0</v>
      </c>
      <c r="C456" s="15">
        <v>1398.949951</v>
      </c>
      <c r="D456" s="15">
        <v>1377.5</v>
      </c>
      <c r="E456" s="15">
        <v>1380.650024</v>
      </c>
      <c r="F456" s="15">
        <v>1344.930786</v>
      </c>
      <c r="G456" s="15">
        <v>7559127.0</v>
      </c>
      <c r="H456" s="19">
        <f t="shared" si="1"/>
        <v>0.004437797667</v>
      </c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8">
        <v>45012.0</v>
      </c>
      <c r="B457" s="15">
        <v>1386.25</v>
      </c>
      <c r="C457" s="15">
        <v>1395.75</v>
      </c>
      <c r="D457" s="15">
        <v>1374.099976</v>
      </c>
      <c r="E457" s="15">
        <v>1388.949951</v>
      </c>
      <c r="F457" s="15">
        <v>1353.015991</v>
      </c>
      <c r="G457" s="15">
        <v>4170193.0</v>
      </c>
      <c r="H457" s="19">
        <f t="shared" si="1"/>
        <v>0.006011608196</v>
      </c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8">
        <v>45013.0</v>
      </c>
      <c r="B458" s="15">
        <v>1392.099976</v>
      </c>
      <c r="C458" s="15">
        <v>1398.0</v>
      </c>
      <c r="D458" s="15">
        <v>1375.849976</v>
      </c>
      <c r="E458" s="15">
        <v>1377.599976</v>
      </c>
      <c r="F458" s="15">
        <v>1341.959595</v>
      </c>
      <c r="G458" s="15">
        <v>6633366.0</v>
      </c>
      <c r="H458" s="19">
        <f t="shared" si="1"/>
        <v>-0.008171622737</v>
      </c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8">
        <v>45014.0</v>
      </c>
      <c r="B459" s="15">
        <v>1379.0</v>
      </c>
      <c r="C459" s="15">
        <v>1389.900024</v>
      </c>
      <c r="D459" s="15">
        <v>1364.550049</v>
      </c>
      <c r="E459" s="15">
        <v>1383.550049</v>
      </c>
      <c r="F459" s="15">
        <v>1347.755859</v>
      </c>
      <c r="G459" s="15">
        <v>8813966.0</v>
      </c>
      <c r="H459" s="19">
        <f t="shared" si="1"/>
        <v>0.004319158757</v>
      </c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8">
        <v>45016.0</v>
      </c>
      <c r="B460" s="15">
        <v>1404.0</v>
      </c>
      <c r="C460" s="15">
        <v>1429.949951</v>
      </c>
      <c r="D460" s="15">
        <v>1393.900024</v>
      </c>
      <c r="E460" s="15">
        <v>1427.949951</v>
      </c>
      <c r="F460" s="15">
        <v>1391.006958</v>
      </c>
      <c r="G460" s="15">
        <v>8711975.0</v>
      </c>
      <c r="H460" s="19">
        <f t="shared" si="1"/>
        <v>0.03209128722</v>
      </c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8">
        <v>45019.0</v>
      </c>
      <c r="B461" s="15">
        <v>1435.0</v>
      </c>
      <c r="C461" s="15">
        <v>1435.0</v>
      </c>
      <c r="D461" s="15">
        <v>1405.150024</v>
      </c>
      <c r="E461" s="15">
        <v>1410.849976</v>
      </c>
      <c r="F461" s="15">
        <v>1374.349487</v>
      </c>
      <c r="G461" s="15">
        <v>5242764.0</v>
      </c>
      <c r="H461" s="19">
        <f t="shared" si="1"/>
        <v>-0.01197519212</v>
      </c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8">
        <v>45021.0</v>
      </c>
      <c r="B462" s="15">
        <v>1400.0</v>
      </c>
      <c r="C462" s="15">
        <v>1427.5</v>
      </c>
      <c r="D462" s="15">
        <v>1400.0</v>
      </c>
      <c r="E462" s="15">
        <v>1423.550049</v>
      </c>
      <c r="F462" s="15">
        <v>1386.720947</v>
      </c>
      <c r="G462" s="15">
        <v>7506334.0</v>
      </c>
      <c r="H462" s="19">
        <f t="shared" si="1"/>
        <v>0.009001717558</v>
      </c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8">
        <v>45022.0</v>
      </c>
      <c r="B463" s="15">
        <v>1416.0</v>
      </c>
      <c r="C463" s="15">
        <v>1428.400024</v>
      </c>
      <c r="D463" s="15">
        <v>1410.349976</v>
      </c>
      <c r="E463" s="15">
        <v>1421.900024</v>
      </c>
      <c r="F463" s="15">
        <v>1385.113525</v>
      </c>
      <c r="G463" s="15">
        <v>6948465.0</v>
      </c>
      <c r="H463" s="19">
        <f t="shared" si="1"/>
        <v>-0.001159091667</v>
      </c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8">
        <v>45026.0</v>
      </c>
      <c r="B464" s="15">
        <v>1423.949951</v>
      </c>
      <c r="C464" s="15">
        <v>1434.0</v>
      </c>
      <c r="D464" s="15">
        <v>1415.0</v>
      </c>
      <c r="E464" s="15">
        <v>1427.599976</v>
      </c>
      <c r="F464" s="15">
        <v>1390.666138</v>
      </c>
      <c r="G464" s="15">
        <v>4993788.0</v>
      </c>
      <c r="H464" s="19">
        <f t="shared" si="1"/>
        <v>0.0040086869</v>
      </c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8">
        <v>45027.0</v>
      </c>
      <c r="B465" s="15">
        <v>1428.900024</v>
      </c>
      <c r="C465" s="15">
        <v>1433.349976</v>
      </c>
      <c r="D465" s="15">
        <v>1389.0</v>
      </c>
      <c r="E465" s="15">
        <v>1406.150024</v>
      </c>
      <c r="F465" s="15">
        <v>1369.770996</v>
      </c>
      <c r="G465" s="15">
        <v>6942255.0</v>
      </c>
      <c r="H465" s="19">
        <f t="shared" si="1"/>
        <v>-0.01502518378</v>
      </c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8">
        <v>45028.0</v>
      </c>
      <c r="B466" s="15">
        <v>1413.050049</v>
      </c>
      <c r="C466" s="15">
        <v>1431.5</v>
      </c>
      <c r="D466" s="15">
        <v>1400.0</v>
      </c>
      <c r="E466" s="15">
        <v>1428.300049</v>
      </c>
      <c r="F466" s="15">
        <v>1391.348022</v>
      </c>
      <c r="G466" s="15">
        <v>5831169.0</v>
      </c>
      <c r="H466" s="19">
        <f t="shared" si="1"/>
        <v>0.01575224878</v>
      </c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8">
        <v>45029.0</v>
      </c>
      <c r="B467" s="15">
        <v>1409.75</v>
      </c>
      <c r="C467" s="15">
        <v>1411.050049</v>
      </c>
      <c r="D467" s="15">
        <v>1383.0</v>
      </c>
      <c r="E467" s="15">
        <v>1389.199951</v>
      </c>
      <c r="F467" s="15">
        <v>1353.259521</v>
      </c>
      <c r="G467" s="15">
        <v>1.1267238E7</v>
      </c>
      <c r="H467" s="19">
        <f t="shared" si="1"/>
        <v>-0.02737526896</v>
      </c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8">
        <v>45033.0</v>
      </c>
      <c r="B468" s="15">
        <v>1250.300049</v>
      </c>
      <c r="C468" s="15">
        <v>1261.150024</v>
      </c>
      <c r="D468" s="15">
        <v>1185.300049</v>
      </c>
      <c r="E468" s="15">
        <v>1258.300049</v>
      </c>
      <c r="F468" s="15">
        <v>1225.746216</v>
      </c>
      <c r="G468" s="15">
        <v>5.3171705E7</v>
      </c>
      <c r="H468" s="19">
        <f t="shared" si="1"/>
        <v>-0.09422682596</v>
      </c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8">
        <v>45034.0</v>
      </c>
      <c r="B469" s="15">
        <v>1269.949951</v>
      </c>
      <c r="C469" s="15">
        <v>1269.949951</v>
      </c>
      <c r="D469" s="15">
        <v>1253.099976</v>
      </c>
      <c r="E469" s="15">
        <v>1259.349976</v>
      </c>
      <c r="F469" s="15">
        <v>1226.768921</v>
      </c>
      <c r="G469" s="15">
        <v>1.2430884E7</v>
      </c>
      <c r="H469" s="19">
        <f t="shared" si="1"/>
        <v>0.0008344011437</v>
      </c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8">
        <v>45035.0</v>
      </c>
      <c r="B470" s="15">
        <v>1254.349976</v>
      </c>
      <c r="C470" s="15">
        <v>1254.349976</v>
      </c>
      <c r="D470" s="15">
        <v>1229.400024</v>
      </c>
      <c r="E470" s="15">
        <v>1232.199951</v>
      </c>
      <c r="F470" s="15">
        <v>1200.321411</v>
      </c>
      <c r="G470" s="15">
        <v>1.130723E7</v>
      </c>
      <c r="H470" s="19">
        <f t="shared" si="1"/>
        <v>-0.02155876088</v>
      </c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8">
        <v>45036.0</v>
      </c>
      <c r="B471" s="15">
        <v>1230.699951</v>
      </c>
      <c r="C471" s="15">
        <v>1237.849976</v>
      </c>
      <c r="D471" s="15">
        <v>1221.400024</v>
      </c>
      <c r="E471" s="15">
        <v>1223.400024</v>
      </c>
      <c r="F471" s="15">
        <v>1191.749146</v>
      </c>
      <c r="G471" s="15">
        <v>8621249.0</v>
      </c>
      <c r="H471" s="19">
        <f t="shared" si="1"/>
        <v>-0.007141638817</v>
      </c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8">
        <v>45037.0</v>
      </c>
      <c r="B472" s="15">
        <v>1228.099976</v>
      </c>
      <c r="C472" s="15">
        <v>1233.25</v>
      </c>
      <c r="D472" s="15">
        <v>1220.0</v>
      </c>
      <c r="E472" s="15">
        <v>1227.349976</v>
      </c>
      <c r="F472" s="15">
        <v>1195.596924</v>
      </c>
      <c r="G472" s="15">
        <v>8691352.0</v>
      </c>
      <c r="H472" s="19">
        <f t="shared" si="1"/>
        <v>0.003228667584</v>
      </c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8">
        <v>45040.0</v>
      </c>
      <c r="B473" s="15">
        <v>1228.0</v>
      </c>
      <c r="C473" s="15">
        <v>1230.0</v>
      </c>
      <c r="D473" s="15">
        <v>1218.0</v>
      </c>
      <c r="E473" s="15">
        <v>1226.300049</v>
      </c>
      <c r="F473" s="15">
        <v>1194.574097</v>
      </c>
      <c r="G473" s="15">
        <v>8313774.0</v>
      </c>
      <c r="H473" s="19">
        <f t="shared" si="1"/>
        <v>-0.0008554422296</v>
      </c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8">
        <v>45041.0</v>
      </c>
      <c r="B474" s="15">
        <v>1225.949951</v>
      </c>
      <c r="C474" s="15">
        <v>1235.5</v>
      </c>
      <c r="D474" s="15">
        <v>1215.0</v>
      </c>
      <c r="E474" s="15">
        <v>1224.900024</v>
      </c>
      <c r="F474" s="15">
        <v>1193.210327</v>
      </c>
      <c r="G474" s="15">
        <v>6808576.0</v>
      </c>
      <c r="H474" s="19">
        <f t="shared" si="1"/>
        <v>-0.001141665941</v>
      </c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8">
        <v>45042.0</v>
      </c>
      <c r="B475" s="15">
        <v>1228.0</v>
      </c>
      <c r="C475" s="15">
        <v>1233.0</v>
      </c>
      <c r="D475" s="15">
        <v>1220.550049</v>
      </c>
      <c r="E475" s="15">
        <v>1227.550049</v>
      </c>
      <c r="F475" s="15">
        <v>1195.791748</v>
      </c>
      <c r="G475" s="15">
        <v>5680192.0</v>
      </c>
      <c r="H475" s="19">
        <f t="shared" si="1"/>
        <v>0.002163462281</v>
      </c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8">
        <v>45043.0</v>
      </c>
      <c r="B476" s="15">
        <v>1230.0</v>
      </c>
      <c r="C476" s="15">
        <v>1247.800049</v>
      </c>
      <c r="D476" s="15">
        <v>1225.400024</v>
      </c>
      <c r="E476" s="15">
        <v>1246.25</v>
      </c>
      <c r="F476" s="15">
        <v>1214.007813</v>
      </c>
      <c r="G476" s="15">
        <v>8020704.0</v>
      </c>
      <c r="H476" s="19">
        <f t="shared" si="1"/>
        <v>0.01523355485</v>
      </c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8">
        <v>45044.0</v>
      </c>
      <c r="B477" s="15">
        <v>1255.699951</v>
      </c>
      <c r="C477" s="15">
        <v>1259.0</v>
      </c>
      <c r="D477" s="15">
        <v>1244.949951</v>
      </c>
      <c r="E477" s="15">
        <v>1252.75</v>
      </c>
      <c r="F477" s="15">
        <v>1220.339722</v>
      </c>
      <c r="G477" s="15">
        <v>1.0118277E7</v>
      </c>
      <c r="H477" s="19">
        <f t="shared" si="1"/>
        <v>0.005215646941</v>
      </c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8">
        <v>45048.0</v>
      </c>
      <c r="B478" s="15">
        <v>1254.550049</v>
      </c>
      <c r="C478" s="15">
        <v>1279.75</v>
      </c>
      <c r="D478" s="15">
        <v>1254.550049</v>
      </c>
      <c r="E478" s="15">
        <v>1277.449951</v>
      </c>
      <c r="F478" s="15">
        <v>1244.400635</v>
      </c>
      <c r="G478" s="15">
        <v>8886401.0</v>
      </c>
      <c r="H478" s="19">
        <f t="shared" si="1"/>
        <v>0.01971658431</v>
      </c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8">
        <v>45049.0</v>
      </c>
      <c r="B479" s="15">
        <v>1266.0</v>
      </c>
      <c r="C479" s="15">
        <v>1272.5</v>
      </c>
      <c r="D479" s="15">
        <v>1262.099976</v>
      </c>
      <c r="E479" s="15">
        <v>1269.150024</v>
      </c>
      <c r="F479" s="15">
        <v>1236.31543</v>
      </c>
      <c r="G479" s="15">
        <v>5549783.0</v>
      </c>
      <c r="H479" s="19">
        <f t="shared" si="1"/>
        <v>-0.006497261982</v>
      </c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8">
        <v>45050.0</v>
      </c>
      <c r="B480" s="15">
        <v>1268.949951</v>
      </c>
      <c r="C480" s="15">
        <v>1275.800049</v>
      </c>
      <c r="D480" s="15">
        <v>1262.5</v>
      </c>
      <c r="E480" s="15">
        <v>1273.550049</v>
      </c>
      <c r="F480" s="15">
        <v>1240.601685</v>
      </c>
      <c r="G480" s="15">
        <v>4505401.0</v>
      </c>
      <c r="H480" s="19">
        <f t="shared" si="1"/>
        <v>0.003466906919</v>
      </c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8">
        <v>45051.0</v>
      </c>
      <c r="B481" s="15">
        <v>1279.0</v>
      </c>
      <c r="C481" s="15">
        <v>1279.0</v>
      </c>
      <c r="D481" s="15">
        <v>1254.25</v>
      </c>
      <c r="E481" s="15">
        <v>1259.099976</v>
      </c>
      <c r="F481" s="15">
        <v>1226.525391</v>
      </c>
      <c r="G481" s="15">
        <v>5373791.0</v>
      </c>
      <c r="H481" s="19">
        <f t="shared" si="1"/>
        <v>-0.01134629378</v>
      </c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8">
        <v>45054.0</v>
      </c>
      <c r="B482" s="15">
        <v>1262.449951</v>
      </c>
      <c r="C482" s="15">
        <v>1270.300049</v>
      </c>
      <c r="D482" s="15">
        <v>1255.199951</v>
      </c>
      <c r="E482" s="15">
        <v>1265.599976</v>
      </c>
      <c r="F482" s="15">
        <v>1232.8573</v>
      </c>
      <c r="G482" s="15">
        <v>5260842.0</v>
      </c>
      <c r="H482" s="19">
        <f t="shared" si="1"/>
        <v>0.005162417698</v>
      </c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8">
        <v>45055.0</v>
      </c>
      <c r="B483" s="15">
        <v>1266.0</v>
      </c>
      <c r="C483" s="15">
        <v>1272.0</v>
      </c>
      <c r="D483" s="15">
        <v>1260.699951</v>
      </c>
      <c r="E483" s="15">
        <v>1270.699951</v>
      </c>
      <c r="F483" s="15">
        <v>1237.825317</v>
      </c>
      <c r="G483" s="15">
        <v>4969897.0</v>
      </c>
      <c r="H483" s="19">
        <f t="shared" si="1"/>
        <v>0.004029689552</v>
      </c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8">
        <v>45056.0</v>
      </c>
      <c r="B484" s="15">
        <v>1276.400024</v>
      </c>
      <c r="C484" s="15">
        <v>1276.400024</v>
      </c>
      <c r="D484" s="15">
        <v>1259.150024</v>
      </c>
      <c r="E484" s="15">
        <v>1263.25</v>
      </c>
      <c r="F484" s="15">
        <v>1230.567993</v>
      </c>
      <c r="G484" s="15">
        <v>6515734.0</v>
      </c>
      <c r="H484" s="19">
        <f t="shared" si="1"/>
        <v>-0.005862871872</v>
      </c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8">
        <v>45057.0</v>
      </c>
      <c r="B485" s="15">
        <v>1270.25</v>
      </c>
      <c r="C485" s="15">
        <v>1275.900024</v>
      </c>
      <c r="D485" s="15">
        <v>1253.050049</v>
      </c>
      <c r="E485" s="15">
        <v>1256.099976</v>
      </c>
      <c r="F485" s="15">
        <v>1223.603027</v>
      </c>
      <c r="G485" s="15">
        <v>6888461.0</v>
      </c>
      <c r="H485" s="19">
        <f t="shared" si="1"/>
        <v>-0.005660022957</v>
      </c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8">
        <v>45058.0</v>
      </c>
      <c r="B486" s="15">
        <v>1253.349976</v>
      </c>
      <c r="C486" s="15">
        <v>1256.0</v>
      </c>
      <c r="D486" s="15">
        <v>1239.050049</v>
      </c>
      <c r="E486" s="15">
        <v>1245.199951</v>
      </c>
      <c r="F486" s="15">
        <v>1212.984985</v>
      </c>
      <c r="G486" s="15">
        <v>8292212.0</v>
      </c>
      <c r="H486" s="19">
        <f t="shared" si="1"/>
        <v>-0.008677673122</v>
      </c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8">
        <v>45061.0</v>
      </c>
      <c r="B487" s="15">
        <v>1249.900024</v>
      </c>
      <c r="C487" s="15">
        <v>1268.900024</v>
      </c>
      <c r="D487" s="15">
        <v>1245.650024</v>
      </c>
      <c r="E487" s="15">
        <v>1258.349976</v>
      </c>
      <c r="F487" s="15">
        <v>1225.7948</v>
      </c>
      <c r="G487" s="15">
        <v>5534710.0</v>
      </c>
      <c r="H487" s="19">
        <f t="shared" si="1"/>
        <v>0.01056057301</v>
      </c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8">
        <v>45062.0</v>
      </c>
      <c r="B488" s="15">
        <v>1265.0</v>
      </c>
      <c r="C488" s="15">
        <v>1273.949951</v>
      </c>
      <c r="D488" s="15">
        <v>1262.75</v>
      </c>
      <c r="E488" s="15">
        <v>1264.300049</v>
      </c>
      <c r="F488" s="15">
        <v>1231.590942</v>
      </c>
      <c r="G488" s="15">
        <v>5236469.0</v>
      </c>
      <c r="H488" s="19">
        <f t="shared" si="1"/>
        <v>0.004728472296</v>
      </c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8">
        <v>45063.0</v>
      </c>
      <c r="B489" s="15">
        <v>1260.599976</v>
      </c>
      <c r="C489" s="15">
        <v>1260.949951</v>
      </c>
      <c r="D489" s="15">
        <v>1242.449951</v>
      </c>
      <c r="E489" s="15">
        <v>1246.900024</v>
      </c>
      <c r="F489" s="15">
        <v>1214.640991</v>
      </c>
      <c r="G489" s="15">
        <v>1.0465667E7</v>
      </c>
      <c r="H489" s="19">
        <f t="shared" si="1"/>
        <v>-0.0137625756</v>
      </c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8">
        <v>45064.0</v>
      </c>
      <c r="B490" s="15">
        <v>1258.599976</v>
      </c>
      <c r="C490" s="15">
        <v>1259.650024</v>
      </c>
      <c r="D490" s="15">
        <v>1242.449951</v>
      </c>
      <c r="E490" s="15">
        <v>1246.0</v>
      </c>
      <c r="F490" s="15">
        <v>1213.764282</v>
      </c>
      <c r="G490" s="15">
        <v>6948732.0</v>
      </c>
      <c r="H490" s="19">
        <f t="shared" si="1"/>
        <v>-0.0007218092731</v>
      </c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8">
        <v>45065.0</v>
      </c>
      <c r="B491" s="15">
        <v>1256.050049</v>
      </c>
      <c r="C491" s="15">
        <v>1273.300049</v>
      </c>
      <c r="D491" s="15">
        <v>1252.800049</v>
      </c>
      <c r="E491" s="15">
        <v>1268.900024</v>
      </c>
      <c r="F491" s="15">
        <v>1236.071899</v>
      </c>
      <c r="G491" s="15">
        <v>1.1094136E7</v>
      </c>
      <c r="H491" s="19">
        <f t="shared" si="1"/>
        <v>0.01837883146</v>
      </c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8">
        <v>45068.0</v>
      </c>
      <c r="B492" s="15">
        <v>1272.949951</v>
      </c>
      <c r="C492" s="15">
        <v>1295.599976</v>
      </c>
      <c r="D492" s="15">
        <v>1270.25</v>
      </c>
      <c r="E492" s="15">
        <v>1292.800049</v>
      </c>
      <c r="F492" s="15">
        <v>1259.353638</v>
      </c>
      <c r="G492" s="15">
        <v>7625947.0</v>
      </c>
      <c r="H492" s="19">
        <f t="shared" si="1"/>
        <v>0.01883523095</v>
      </c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8">
        <v>45069.0</v>
      </c>
      <c r="B493" s="15">
        <v>1299.199951</v>
      </c>
      <c r="C493" s="15">
        <v>1314.150024</v>
      </c>
      <c r="D493" s="15">
        <v>1297.050049</v>
      </c>
      <c r="E493" s="15">
        <v>1300.050049</v>
      </c>
      <c r="F493" s="15">
        <v>1266.416016</v>
      </c>
      <c r="G493" s="15">
        <v>7436031.0</v>
      </c>
      <c r="H493" s="19">
        <f t="shared" si="1"/>
        <v>0.005607982461</v>
      </c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8">
        <v>45070.0</v>
      </c>
      <c r="B494" s="15">
        <v>1296.300049</v>
      </c>
      <c r="C494" s="15">
        <v>1305.0</v>
      </c>
      <c r="D494" s="15">
        <v>1291.300049</v>
      </c>
      <c r="E494" s="15">
        <v>1298.650024</v>
      </c>
      <c r="F494" s="15">
        <v>1265.052246</v>
      </c>
      <c r="G494" s="15">
        <v>4824077.0</v>
      </c>
      <c r="H494" s="19">
        <f t="shared" si="1"/>
        <v>-0.001076900848</v>
      </c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8">
        <v>45071.0</v>
      </c>
      <c r="B495" s="15">
        <v>1294.5</v>
      </c>
      <c r="C495" s="15">
        <v>1307.0</v>
      </c>
      <c r="D495" s="15">
        <v>1289.25</v>
      </c>
      <c r="E495" s="15">
        <v>1304.349976</v>
      </c>
      <c r="F495" s="15">
        <v>1270.604736</v>
      </c>
      <c r="G495" s="15">
        <v>4334121.0</v>
      </c>
      <c r="H495" s="19">
        <f t="shared" si="1"/>
        <v>0.00438913633</v>
      </c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8">
        <v>45072.0</v>
      </c>
      <c r="B496" s="15">
        <v>1306.0</v>
      </c>
      <c r="C496" s="15">
        <v>1323.449951</v>
      </c>
      <c r="D496" s="15">
        <v>1306.0</v>
      </c>
      <c r="E496" s="15">
        <v>1317.449951</v>
      </c>
      <c r="F496" s="15">
        <v>1283.365723</v>
      </c>
      <c r="G496" s="15">
        <v>5521606.0</v>
      </c>
      <c r="H496" s="19">
        <f t="shared" si="1"/>
        <v>0.01004329761</v>
      </c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8">
        <v>45075.0</v>
      </c>
      <c r="B497" s="15">
        <v>1332.699951</v>
      </c>
      <c r="C497" s="15">
        <v>1332.699951</v>
      </c>
      <c r="D497" s="15">
        <v>1309.849976</v>
      </c>
      <c r="E497" s="15">
        <v>1314.400024</v>
      </c>
      <c r="F497" s="15">
        <v>1280.394775</v>
      </c>
      <c r="G497" s="15">
        <v>4419365.0</v>
      </c>
      <c r="H497" s="19">
        <f t="shared" si="1"/>
        <v>-0.002315023047</v>
      </c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8">
        <v>45076.0</v>
      </c>
      <c r="B498" s="15">
        <v>1315.0</v>
      </c>
      <c r="C498" s="15">
        <v>1326.400024</v>
      </c>
      <c r="D498" s="15">
        <v>1309.150024</v>
      </c>
      <c r="E498" s="15">
        <v>1323.849976</v>
      </c>
      <c r="F498" s="15">
        <v>1289.60022</v>
      </c>
      <c r="G498" s="15">
        <v>6274719.0</v>
      </c>
      <c r="H498" s="19">
        <f t="shared" si="1"/>
        <v>0.00718955556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8">
        <v>45077.0</v>
      </c>
      <c r="B499" s="15">
        <v>1319.849976</v>
      </c>
      <c r="C499" s="15">
        <v>1331.099976</v>
      </c>
      <c r="D499" s="15">
        <v>1314.150024</v>
      </c>
      <c r="E499" s="15">
        <v>1318.300049</v>
      </c>
      <c r="F499" s="15">
        <v>1284.193848</v>
      </c>
      <c r="G499" s="15">
        <v>1.7800782E7</v>
      </c>
      <c r="H499" s="19">
        <f t="shared" si="1"/>
        <v>-0.004192262795</v>
      </c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8">
        <v>45078.0</v>
      </c>
      <c r="B500" s="15">
        <v>1322.550049</v>
      </c>
      <c r="C500" s="15">
        <v>1329.5</v>
      </c>
      <c r="D500" s="15">
        <v>1318.099976</v>
      </c>
      <c r="E500" s="15">
        <v>1319.5</v>
      </c>
      <c r="F500" s="15">
        <v>1285.362793</v>
      </c>
      <c r="G500" s="15">
        <v>4277841.0</v>
      </c>
      <c r="H500" s="19">
        <f t="shared" si="1"/>
        <v>0.0009102260149</v>
      </c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8">
        <v>45079.0</v>
      </c>
      <c r="B501" s="15">
        <v>1309.0</v>
      </c>
      <c r="C501" s="15">
        <v>1312.900024</v>
      </c>
      <c r="D501" s="15">
        <v>1296.050049</v>
      </c>
      <c r="E501" s="15">
        <v>1299.0</v>
      </c>
      <c r="F501" s="15">
        <v>1282.401123</v>
      </c>
      <c r="G501" s="15">
        <v>1.0909311E7</v>
      </c>
      <c r="H501" s="19">
        <f t="shared" si="1"/>
        <v>-0.01553618795</v>
      </c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8">
        <v>45082.0</v>
      </c>
      <c r="B502" s="15">
        <v>1304.0</v>
      </c>
      <c r="C502" s="15">
        <v>1309.449951</v>
      </c>
      <c r="D502" s="15">
        <v>1297.300049</v>
      </c>
      <c r="E502" s="15">
        <v>1304.5</v>
      </c>
      <c r="F502" s="15">
        <v>1287.830933</v>
      </c>
      <c r="G502" s="15">
        <v>5002553.0</v>
      </c>
      <c r="H502" s="19">
        <f t="shared" si="1"/>
        <v>0.004234026174</v>
      </c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8">
        <v>45083.0</v>
      </c>
      <c r="B503" s="15">
        <v>1288.599976</v>
      </c>
      <c r="C503" s="15">
        <v>1288.599976</v>
      </c>
      <c r="D503" s="15">
        <v>1273.0</v>
      </c>
      <c r="E503" s="15">
        <v>1279.0</v>
      </c>
      <c r="F503" s="15">
        <v>1262.656738</v>
      </c>
      <c r="G503" s="15">
        <v>1.00081E7</v>
      </c>
      <c r="H503" s="19">
        <f t="shared" si="1"/>
        <v>-0.01954771943</v>
      </c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8">
        <v>45084.0</v>
      </c>
      <c r="B504" s="15">
        <v>1290.5</v>
      </c>
      <c r="C504" s="15">
        <v>1294.0</v>
      </c>
      <c r="D504" s="15">
        <v>1282.5</v>
      </c>
      <c r="E504" s="15">
        <v>1288.949951</v>
      </c>
      <c r="F504" s="15">
        <v>1272.479492</v>
      </c>
      <c r="G504" s="15">
        <v>5397578.0</v>
      </c>
      <c r="H504" s="19">
        <f t="shared" si="1"/>
        <v>0.007779476935</v>
      </c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8">
        <v>45085.0</v>
      </c>
      <c r="B505" s="15">
        <v>1286.199951</v>
      </c>
      <c r="C505" s="15">
        <v>1292.0</v>
      </c>
      <c r="D505" s="15">
        <v>1281.099976</v>
      </c>
      <c r="E505" s="15">
        <v>1282.800049</v>
      </c>
      <c r="F505" s="15">
        <v>1266.408203</v>
      </c>
      <c r="G505" s="15">
        <v>5034942.0</v>
      </c>
      <c r="H505" s="19">
        <f t="shared" si="1"/>
        <v>-0.004771249648</v>
      </c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8">
        <v>45086.0</v>
      </c>
      <c r="B506" s="15">
        <v>1282.5</v>
      </c>
      <c r="C506" s="15">
        <v>1282.5</v>
      </c>
      <c r="D506" s="15">
        <v>1264.0</v>
      </c>
      <c r="E506" s="15">
        <v>1265.949951</v>
      </c>
      <c r="F506" s="15">
        <v>1249.773438</v>
      </c>
      <c r="G506" s="15">
        <v>5339073.0</v>
      </c>
      <c r="H506" s="19">
        <f t="shared" si="1"/>
        <v>-0.01313540486</v>
      </c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8">
        <v>45089.0</v>
      </c>
      <c r="B507" s="15">
        <v>1273.5</v>
      </c>
      <c r="C507" s="15">
        <v>1295.699951</v>
      </c>
      <c r="D507" s="15">
        <v>1273.0</v>
      </c>
      <c r="E507" s="15">
        <v>1291.949951</v>
      </c>
      <c r="F507" s="15">
        <v>1275.441162</v>
      </c>
      <c r="G507" s="15">
        <v>4785588.0</v>
      </c>
      <c r="H507" s="19">
        <f t="shared" si="1"/>
        <v>0.02053793673</v>
      </c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8">
        <v>45090.0</v>
      </c>
      <c r="B508" s="15">
        <v>1299.900024</v>
      </c>
      <c r="C508" s="15">
        <v>1306.5</v>
      </c>
      <c r="D508" s="15">
        <v>1297.050049</v>
      </c>
      <c r="E508" s="15">
        <v>1304.849976</v>
      </c>
      <c r="F508" s="15">
        <v>1288.176392</v>
      </c>
      <c r="G508" s="15">
        <v>4846587.0</v>
      </c>
      <c r="H508" s="19">
        <f t="shared" si="1"/>
        <v>0.009984926266</v>
      </c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8">
        <v>45091.0</v>
      </c>
      <c r="B509" s="15">
        <v>1306.349976</v>
      </c>
      <c r="C509" s="15">
        <v>1306.699951</v>
      </c>
      <c r="D509" s="15">
        <v>1293.199951</v>
      </c>
      <c r="E509" s="15">
        <v>1300.400024</v>
      </c>
      <c r="F509" s="15">
        <v>1283.783325</v>
      </c>
      <c r="G509" s="15">
        <v>3457981.0</v>
      </c>
      <c r="H509" s="19">
        <f t="shared" si="1"/>
        <v>-0.003410316957</v>
      </c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8">
        <v>45092.0</v>
      </c>
      <c r="B510" s="15">
        <v>1293.949951</v>
      </c>
      <c r="C510" s="15">
        <v>1293.949951</v>
      </c>
      <c r="D510" s="15">
        <v>1282.650024</v>
      </c>
      <c r="E510" s="15">
        <v>1286.800049</v>
      </c>
      <c r="F510" s="15">
        <v>1270.357056</v>
      </c>
      <c r="G510" s="15">
        <v>6161155.0</v>
      </c>
      <c r="H510" s="19">
        <f t="shared" si="1"/>
        <v>-0.0104583011</v>
      </c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8">
        <v>45093.0</v>
      </c>
      <c r="B511" s="15">
        <v>1287.0</v>
      </c>
      <c r="C511" s="15">
        <v>1301.5</v>
      </c>
      <c r="D511" s="15">
        <v>1281.050049</v>
      </c>
      <c r="E511" s="15">
        <v>1291.650024</v>
      </c>
      <c r="F511" s="15">
        <v>1275.145142</v>
      </c>
      <c r="G511" s="15">
        <v>8536287.0</v>
      </c>
      <c r="H511" s="19">
        <f t="shared" si="1"/>
        <v>0.003769019906</v>
      </c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8">
        <v>45096.0</v>
      </c>
      <c r="B512" s="15">
        <v>1294.0</v>
      </c>
      <c r="C512" s="15">
        <v>1299.5</v>
      </c>
      <c r="D512" s="15">
        <v>1287.050049</v>
      </c>
      <c r="E512" s="15">
        <v>1294.0</v>
      </c>
      <c r="F512" s="15">
        <v>1277.465088</v>
      </c>
      <c r="G512" s="15">
        <v>4451787.0</v>
      </c>
      <c r="H512" s="19">
        <f t="shared" si="1"/>
        <v>0.0018193597</v>
      </c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8">
        <v>45097.0</v>
      </c>
      <c r="B513" s="15">
        <v>1294.0</v>
      </c>
      <c r="C513" s="15">
        <v>1305.0</v>
      </c>
      <c r="D513" s="15">
        <v>1291.099976</v>
      </c>
      <c r="E513" s="15">
        <v>1303.400024</v>
      </c>
      <c r="F513" s="15">
        <v>1286.744995</v>
      </c>
      <c r="G513" s="15">
        <v>4009180.0</v>
      </c>
      <c r="H513" s="19">
        <f t="shared" si="1"/>
        <v>0.007264315301</v>
      </c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8">
        <v>45098.0</v>
      </c>
      <c r="B514" s="15">
        <v>1299.949951</v>
      </c>
      <c r="C514" s="15">
        <v>1303.800049</v>
      </c>
      <c r="D514" s="15">
        <v>1295.0</v>
      </c>
      <c r="E514" s="15">
        <v>1299.349976</v>
      </c>
      <c r="F514" s="15">
        <v>1282.746704</v>
      </c>
      <c r="G514" s="15">
        <v>4041529.0</v>
      </c>
      <c r="H514" s="19">
        <f t="shared" si="1"/>
        <v>-0.00310729471</v>
      </c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8">
        <v>45099.0</v>
      </c>
      <c r="B515" s="15">
        <v>1289.400024</v>
      </c>
      <c r="C515" s="15">
        <v>1289.400024</v>
      </c>
      <c r="D515" s="15">
        <v>1273.5</v>
      </c>
      <c r="E515" s="15">
        <v>1281.550049</v>
      </c>
      <c r="F515" s="15">
        <v>1265.174194</v>
      </c>
      <c r="G515" s="15">
        <v>6676607.0</v>
      </c>
      <c r="H515" s="19">
        <f t="shared" si="1"/>
        <v>-0.01369910134</v>
      </c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8">
        <v>45100.0</v>
      </c>
      <c r="B516" s="15">
        <v>1276.449951</v>
      </c>
      <c r="C516" s="15">
        <v>1279.349976</v>
      </c>
      <c r="D516" s="15">
        <v>1263.349976</v>
      </c>
      <c r="E516" s="15">
        <v>1265.0</v>
      </c>
      <c r="F516" s="15">
        <v>1248.835571</v>
      </c>
      <c r="G516" s="15">
        <v>7239467.0</v>
      </c>
      <c r="H516" s="19">
        <f t="shared" si="1"/>
        <v>-0.01291408713</v>
      </c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8">
        <v>45103.0</v>
      </c>
      <c r="B517" s="15">
        <v>1270.25</v>
      </c>
      <c r="C517" s="15">
        <v>1274.0</v>
      </c>
      <c r="D517" s="15">
        <v>1262.25</v>
      </c>
      <c r="E517" s="15">
        <v>1270.349976</v>
      </c>
      <c r="F517" s="15">
        <v>1254.117188</v>
      </c>
      <c r="G517" s="15">
        <v>3403244.0</v>
      </c>
      <c r="H517" s="19">
        <f t="shared" si="1"/>
        <v>0.00422923004</v>
      </c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8">
        <v>45104.0</v>
      </c>
      <c r="B518" s="15">
        <v>1280.0</v>
      </c>
      <c r="C518" s="15">
        <v>1282.0</v>
      </c>
      <c r="D518" s="15">
        <v>1274.199951</v>
      </c>
      <c r="E518" s="15">
        <v>1279.150024</v>
      </c>
      <c r="F518" s="15">
        <v>1262.80481</v>
      </c>
      <c r="G518" s="15">
        <v>3240024.0</v>
      </c>
      <c r="H518" s="19">
        <f t="shared" si="1"/>
        <v>0.006927262696</v>
      </c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8">
        <v>45105.0</v>
      </c>
      <c r="B519" s="15">
        <v>1290.0</v>
      </c>
      <c r="C519" s="15">
        <v>1296.699951</v>
      </c>
      <c r="D519" s="15">
        <v>1281.400024</v>
      </c>
      <c r="E519" s="15">
        <v>1293.349976</v>
      </c>
      <c r="F519" s="15">
        <v>1276.823364</v>
      </c>
      <c r="G519" s="15">
        <v>5662358.0</v>
      </c>
      <c r="H519" s="19">
        <f t="shared" si="1"/>
        <v>0.01110108411</v>
      </c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8">
        <v>45107.0</v>
      </c>
      <c r="B520" s="15">
        <v>1308.199951</v>
      </c>
      <c r="C520" s="15">
        <v>1338.900024</v>
      </c>
      <c r="D520" s="15">
        <v>1304.449951</v>
      </c>
      <c r="E520" s="15">
        <v>1335.5</v>
      </c>
      <c r="F520" s="15">
        <v>1318.434814</v>
      </c>
      <c r="G520" s="15">
        <v>1.2821692E7</v>
      </c>
      <c r="H520" s="19">
        <f t="shared" si="1"/>
        <v>0.03258980538</v>
      </c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8">
        <v>45110.0</v>
      </c>
      <c r="B521" s="15">
        <v>1330.0</v>
      </c>
      <c r="C521" s="15">
        <v>1346.0</v>
      </c>
      <c r="D521" s="15">
        <v>1328.449951</v>
      </c>
      <c r="E521" s="15">
        <v>1333.699951</v>
      </c>
      <c r="F521" s="15">
        <v>1316.657715</v>
      </c>
      <c r="G521" s="15">
        <v>7732412.0</v>
      </c>
      <c r="H521" s="19">
        <f t="shared" si="1"/>
        <v>-0.001347846499</v>
      </c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8">
        <v>45111.0</v>
      </c>
      <c r="B522" s="15">
        <v>1344.300049</v>
      </c>
      <c r="C522" s="15">
        <v>1346.0</v>
      </c>
      <c r="D522" s="15">
        <v>1331.400024</v>
      </c>
      <c r="E522" s="15">
        <v>1345.150024</v>
      </c>
      <c r="F522" s="15">
        <v>1327.961426</v>
      </c>
      <c r="G522" s="15">
        <v>5797775.0</v>
      </c>
      <c r="H522" s="19">
        <f t="shared" si="1"/>
        <v>0.008585194137</v>
      </c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8">
        <v>45112.0</v>
      </c>
      <c r="B523" s="15">
        <v>1357.849976</v>
      </c>
      <c r="C523" s="15">
        <v>1357.949951</v>
      </c>
      <c r="D523" s="15">
        <v>1341.0</v>
      </c>
      <c r="E523" s="15">
        <v>1347.300049</v>
      </c>
      <c r="F523" s="15">
        <v>1330.083984</v>
      </c>
      <c r="G523" s="15">
        <v>5414936.0</v>
      </c>
      <c r="H523" s="19">
        <f t="shared" si="1"/>
        <v>0.001598353315</v>
      </c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8">
        <v>45113.0</v>
      </c>
      <c r="B524" s="15">
        <v>1342.550049</v>
      </c>
      <c r="C524" s="15">
        <v>1347.449951</v>
      </c>
      <c r="D524" s="15">
        <v>1337.150024</v>
      </c>
      <c r="E524" s="15">
        <v>1343.900024</v>
      </c>
      <c r="F524" s="15">
        <v>1326.727417</v>
      </c>
      <c r="G524" s="15">
        <v>5963897.0</v>
      </c>
      <c r="H524" s="19">
        <f t="shared" si="1"/>
        <v>-0.002523584114</v>
      </c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8">
        <v>45114.0</v>
      </c>
      <c r="B525" s="15">
        <v>1334.0</v>
      </c>
      <c r="C525" s="15">
        <v>1345.800049</v>
      </c>
      <c r="D525" s="15">
        <v>1325.349976</v>
      </c>
      <c r="E525" s="15">
        <v>1330.199951</v>
      </c>
      <c r="F525" s="15">
        <v>1313.202393</v>
      </c>
      <c r="G525" s="15">
        <v>6295647.0</v>
      </c>
      <c r="H525" s="19">
        <f t="shared" si="1"/>
        <v>-0.01019426502</v>
      </c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8">
        <v>45117.0</v>
      </c>
      <c r="B526" s="15">
        <v>1336.550049</v>
      </c>
      <c r="C526" s="15">
        <v>1341.900024</v>
      </c>
      <c r="D526" s="15">
        <v>1319.300049</v>
      </c>
      <c r="E526" s="15">
        <v>1329.150024</v>
      </c>
      <c r="F526" s="15">
        <v>1312.165894</v>
      </c>
      <c r="G526" s="15">
        <v>3940315.0</v>
      </c>
      <c r="H526" s="19">
        <f t="shared" si="1"/>
        <v>-0.0007893001343</v>
      </c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8">
        <v>45118.0</v>
      </c>
      <c r="B527" s="15">
        <v>1333.449951</v>
      </c>
      <c r="C527" s="15">
        <v>1350.900024</v>
      </c>
      <c r="D527" s="15">
        <v>1327.0</v>
      </c>
      <c r="E527" s="15">
        <v>1348.599976</v>
      </c>
      <c r="F527" s="15">
        <v>1331.36731</v>
      </c>
      <c r="G527" s="15">
        <v>6126128.0</v>
      </c>
      <c r="H527" s="19">
        <f t="shared" si="1"/>
        <v>0.01463337595</v>
      </c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8">
        <v>45119.0</v>
      </c>
      <c r="B528" s="15">
        <v>1351.0</v>
      </c>
      <c r="C528" s="15">
        <v>1351.900024</v>
      </c>
      <c r="D528" s="15">
        <v>1327.0</v>
      </c>
      <c r="E528" s="15">
        <v>1333.300049</v>
      </c>
      <c r="F528" s="15">
        <v>1316.262939</v>
      </c>
      <c r="G528" s="15">
        <v>8102770.0</v>
      </c>
      <c r="H528" s="19">
        <f t="shared" si="1"/>
        <v>-0.01134504469</v>
      </c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8">
        <v>45120.0</v>
      </c>
      <c r="B529" s="15">
        <v>1334.900024</v>
      </c>
      <c r="C529" s="15">
        <v>1376.800049</v>
      </c>
      <c r="D529" s="15">
        <v>1330.849976</v>
      </c>
      <c r="E529" s="15">
        <v>1365.099976</v>
      </c>
      <c r="F529" s="15">
        <v>1347.656494</v>
      </c>
      <c r="G529" s="15">
        <v>9977644.0</v>
      </c>
      <c r="H529" s="19">
        <f t="shared" si="1"/>
        <v>0.02385054064</v>
      </c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8">
        <v>45121.0</v>
      </c>
      <c r="B530" s="15">
        <v>1380.650024</v>
      </c>
      <c r="C530" s="15">
        <v>1430.0</v>
      </c>
      <c r="D530" s="15">
        <v>1380.650024</v>
      </c>
      <c r="E530" s="15">
        <v>1425.949951</v>
      </c>
      <c r="F530" s="15">
        <v>1407.728882</v>
      </c>
      <c r="G530" s="15">
        <v>1.2833381E7</v>
      </c>
      <c r="H530" s="19">
        <f t="shared" si="1"/>
        <v>0.04457547145</v>
      </c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8">
        <v>45124.0</v>
      </c>
      <c r="B531" s="15">
        <v>1425.949951</v>
      </c>
      <c r="C531" s="15">
        <v>1458.949951</v>
      </c>
      <c r="D531" s="15">
        <v>1414.300049</v>
      </c>
      <c r="E531" s="15">
        <v>1422.949951</v>
      </c>
      <c r="F531" s="15">
        <v>1404.767212</v>
      </c>
      <c r="G531" s="15">
        <v>1.1569884E7</v>
      </c>
      <c r="H531" s="19">
        <f t="shared" si="1"/>
        <v>-0.002103860656</v>
      </c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8">
        <v>45125.0</v>
      </c>
      <c r="B532" s="15">
        <v>1434.0</v>
      </c>
      <c r="C532" s="15">
        <v>1477.949951</v>
      </c>
      <c r="D532" s="15">
        <v>1429.0</v>
      </c>
      <c r="E532" s="15">
        <v>1475.199951</v>
      </c>
      <c r="F532" s="15">
        <v>1456.349609</v>
      </c>
      <c r="G532" s="15">
        <v>1.6743977E7</v>
      </c>
      <c r="H532" s="19">
        <f t="shared" si="1"/>
        <v>0.03671949246</v>
      </c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8">
        <v>45126.0</v>
      </c>
      <c r="B533" s="15">
        <v>1486.0</v>
      </c>
      <c r="C533" s="15">
        <v>1498.800049</v>
      </c>
      <c r="D533" s="15">
        <v>1460.699951</v>
      </c>
      <c r="E533" s="15">
        <v>1474.949951</v>
      </c>
      <c r="F533" s="15">
        <v>1456.102783</v>
      </c>
      <c r="G533" s="15">
        <v>1.3687062E7</v>
      </c>
      <c r="H533" s="19">
        <f t="shared" si="1"/>
        <v>-0.0001694685523</v>
      </c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8">
        <v>45127.0</v>
      </c>
      <c r="B534" s="15">
        <v>1471.0</v>
      </c>
      <c r="C534" s="15">
        <v>1471.0</v>
      </c>
      <c r="D534" s="15">
        <v>1440.699951</v>
      </c>
      <c r="E534" s="15">
        <v>1449.5</v>
      </c>
      <c r="F534" s="15">
        <v>1430.978027</v>
      </c>
      <c r="G534" s="15">
        <v>8347221.0</v>
      </c>
      <c r="H534" s="19">
        <f t="shared" si="1"/>
        <v>-0.01725478955</v>
      </c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8">
        <v>45128.0</v>
      </c>
      <c r="B535" s="15">
        <v>1320.199951</v>
      </c>
      <c r="C535" s="15">
        <v>1350.0</v>
      </c>
      <c r="D535" s="15">
        <v>1305.0</v>
      </c>
      <c r="E535" s="15">
        <v>1331.599976</v>
      </c>
      <c r="F535" s="15">
        <v>1314.584595</v>
      </c>
      <c r="G535" s="15">
        <v>4.5548305E7</v>
      </c>
      <c r="H535" s="19">
        <f t="shared" si="1"/>
        <v>-0.08133840911</v>
      </c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8">
        <v>45131.0</v>
      </c>
      <c r="B536" s="15">
        <v>1341.0</v>
      </c>
      <c r="C536" s="15">
        <v>1349.900024</v>
      </c>
      <c r="D536" s="15">
        <v>1334.25</v>
      </c>
      <c r="E536" s="15">
        <v>1336.599976</v>
      </c>
      <c r="F536" s="15">
        <v>1319.52063</v>
      </c>
      <c r="G536" s="15">
        <v>8859789.0</v>
      </c>
      <c r="H536" s="19">
        <f t="shared" si="1"/>
        <v>0.003754881413</v>
      </c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8">
        <v>45132.0</v>
      </c>
      <c r="B537" s="15">
        <v>1337.0</v>
      </c>
      <c r="C537" s="15">
        <v>1342.849976</v>
      </c>
      <c r="D537" s="15">
        <v>1324.25</v>
      </c>
      <c r="E537" s="15">
        <v>1334.599976</v>
      </c>
      <c r="F537" s="15">
        <v>1317.546265</v>
      </c>
      <c r="G537" s="15">
        <v>6801982.0</v>
      </c>
      <c r="H537" s="19">
        <f t="shared" si="1"/>
        <v>-0.001496334009</v>
      </c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8">
        <v>45133.0</v>
      </c>
      <c r="B538" s="15">
        <v>1343.0</v>
      </c>
      <c r="C538" s="15">
        <v>1350.0</v>
      </c>
      <c r="D538" s="15">
        <v>1339.400024</v>
      </c>
      <c r="E538" s="15">
        <v>1348.849976</v>
      </c>
      <c r="F538" s="15">
        <v>1331.614136</v>
      </c>
      <c r="G538" s="15">
        <v>5528885.0</v>
      </c>
      <c r="H538" s="19">
        <f t="shared" si="1"/>
        <v>0.0106773567</v>
      </c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8">
        <v>45134.0</v>
      </c>
      <c r="B539" s="15">
        <v>1358.599976</v>
      </c>
      <c r="C539" s="15">
        <v>1363.800049</v>
      </c>
      <c r="D539" s="15">
        <v>1347.050049</v>
      </c>
      <c r="E539" s="15">
        <v>1353.150024</v>
      </c>
      <c r="F539" s="15">
        <v>1335.859253</v>
      </c>
      <c r="G539" s="15">
        <v>9191861.0</v>
      </c>
      <c r="H539" s="19">
        <f t="shared" si="1"/>
        <v>0.003187936447</v>
      </c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8">
        <v>45135.0</v>
      </c>
      <c r="B540" s="15">
        <v>1353.849976</v>
      </c>
      <c r="C540" s="15">
        <v>1363.849976</v>
      </c>
      <c r="D540" s="15">
        <v>1336.0</v>
      </c>
      <c r="E540" s="15">
        <v>1340.5</v>
      </c>
      <c r="F540" s="15">
        <v>1323.37085</v>
      </c>
      <c r="G540" s="15">
        <v>6122735.0</v>
      </c>
      <c r="H540" s="19">
        <f t="shared" si="1"/>
        <v>-0.009348574641</v>
      </c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8">
        <v>45138.0</v>
      </c>
      <c r="B541" s="15">
        <v>1348.75</v>
      </c>
      <c r="C541" s="15">
        <v>1357.5</v>
      </c>
      <c r="D541" s="15">
        <v>1333.25</v>
      </c>
      <c r="E541" s="15">
        <v>1355.699951</v>
      </c>
      <c r="F541" s="15">
        <v>1338.376587</v>
      </c>
      <c r="G541" s="15">
        <v>7902180.0</v>
      </c>
      <c r="H541" s="19">
        <f t="shared" si="1"/>
        <v>0.01133901604</v>
      </c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8">
        <v>45139.0</v>
      </c>
      <c r="B542" s="15">
        <v>1362.0</v>
      </c>
      <c r="C542" s="15">
        <v>1369.0</v>
      </c>
      <c r="D542" s="15">
        <v>1357.0</v>
      </c>
      <c r="E542" s="15">
        <v>1365.199951</v>
      </c>
      <c r="F542" s="15">
        <v>1347.755249</v>
      </c>
      <c r="G542" s="15">
        <v>6064652.0</v>
      </c>
      <c r="H542" s="19">
        <f t="shared" si="1"/>
        <v>0.007007450279</v>
      </c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8">
        <v>45140.0</v>
      </c>
      <c r="B543" s="15">
        <v>1369.300049</v>
      </c>
      <c r="C543" s="15">
        <v>1371.949951</v>
      </c>
      <c r="D543" s="15">
        <v>1348.449951</v>
      </c>
      <c r="E543" s="15">
        <v>1356.849976</v>
      </c>
      <c r="F543" s="15">
        <v>1339.511963</v>
      </c>
      <c r="G543" s="15">
        <v>7419145.0</v>
      </c>
      <c r="H543" s="19">
        <f t="shared" si="1"/>
        <v>-0.00611630186</v>
      </c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8">
        <v>45141.0</v>
      </c>
      <c r="B544" s="15">
        <v>1350.0</v>
      </c>
      <c r="C544" s="15">
        <v>1366.550049</v>
      </c>
      <c r="D544" s="15">
        <v>1349.0</v>
      </c>
      <c r="E544" s="15">
        <v>1364.300049</v>
      </c>
      <c r="F544" s="15">
        <v>1346.866821</v>
      </c>
      <c r="G544" s="15">
        <v>6503741.0</v>
      </c>
      <c r="H544" s="19">
        <f t="shared" si="1"/>
        <v>0.005490712409</v>
      </c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8">
        <v>45142.0</v>
      </c>
      <c r="B545" s="15">
        <v>1368.900024</v>
      </c>
      <c r="C545" s="15">
        <v>1385.900024</v>
      </c>
      <c r="D545" s="15">
        <v>1362.0</v>
      </c>
      <c r="E545" s="15">
        <v>1378.349976</v>
      </c>
      <c r="F545" s="15">
        <v>1360.737183</v>
      </c>
      <c r="G545" s="15">
        <v>5712345.0</v>
      </c>
      <c r="H545" s="19">
        <f t="shared" si="1"/>
        <v>0.01029826761</v>
      </c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8">
        <v>45145.0</v>
      </c>
      <c r="B546" s="15">
        <v>1387.900024</v>
      </c>
      <c r="C546" s="15">
        <v>1395.0</v>
      </c>
      <c r="D546" s="15">
        <v>1377.0</v>
      </c>
      <c r="E546" s="15">
        <v>1393.0</v>
      </c>
      <c r="F546" s="15">
        <v>1375.200073</v>
      </c>
      <c r="G546" s="15">
        <v>3729093.0</v>
      </c>
      <c r="H546" s="19">
        <f t="shared" si="1"/>
        <v>0.01062866779</v>
      </c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8">
        <v>45146.0</v>
      </c>
      <c r="B547" s="15">
        <v>1392.849976</v>
      </c>
      <c r="C547" s="15">
        <v>1393.550049</v>
      </c>
      <c r="D547" s="15">
        <v>1384.400024</v>
      </c>
      <c r="E547" s="15">
        <v>1390.199951</v>
      </c>
      <c r="F547" s="15">
        <v>1372.435791</v>
      </c>
      <c r="G547" s="15">
        <v>4161877.0</v>
      </c>
      <c r="H547" s="19">
        <f t="shared" si="1"/>
        <v>-0.002010085427</v>
      </c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8">
        <v>45147.0</v>
      </c>
      <c r="B548" s="15">
        <v>1384.0</v>
      </c>
      <c r="C548" s="15">
        <v>1396.0</v>
      </c>
      <c r="D548" s="15">
        <v>1382.5</v>
      </c>
      <c r="E548" s="15">
        <v>1394.400024</v>
      </c>
      <c r="F548" s="15">
        <v>1376.582153</v>
      </c>
      <c r="G548" s="15">
        <v>4090828.0</v>
      </c>
      <c r="H548" s="19">
        <f t="shared" si="1"/>
        <v>0.003021200653</v>
      </c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8">
        <v>45148.0</v>
      </c>
      <c r="B549" s="15">
        <v>1391.599976</v>
      </c>
      <c r="C549" s="15">
        <v>1395.800049</v>
      </c>
      <c r="D549" s="15">
        <v>1385.599976</v>
      </c>
      <c r="E549" s="15">
        <v>1389.099976</v>
      </c>
      <c r="F549" s="15">
        <v>1371.349854</v>
      </c>
      <c r="G549" s="15">
        <v>3873025.0</v>
      </c>
      <c r="H549" s="19">
        <f t="shared" si="1"/>
        <v>-0.003800952316</v>
      </c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8">
        <v>45149.0</v>
      </c>
      <c r="B550" s="15">
        <v>1392.0</v>
      </c>
      <c r="C550" s="15">
        <v>1396.849976</v>
      </c>
      <c r="D550" s="15">
        <v>1367.050049</v>
      </c>
      <c r="E550" s="15">
        <v>1371.849976</v>
      </c>
      <c r="F550" s="15">
        <v>1354.320313</v>
      </c>
      <c r="G550" s="15">
        <v>5783517.0</v>
      </c>
      <c r="H550" s="19">
        <f t="shared" si="1"/>
        <v>-0.01241811266</v>
      </c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8">
        <v>45152.0</v>
      </c>
      <c r="B551" s="15">
        <v>1371.849976</v>
      </c>
      <c r="C551" s="15">
        <v>1395.0</v>
      </c>
      <c r="D551" s="15">
        <v>1365.599976</v>
      </c>
      <c r="E551" s="15">
        <v>1393.550049</v>
      </c>
      <c r="F551" s="15">
        <v>1375.743042</v>
      </c>
      <c r="G551" s="15">
        <v>4304135.0</v>
      </c>
      <c r="H551" s="19">
        <f t="shared" si="1"/>
        <v>0.0158181094</v>
      </c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8">
        <v>45154.0</v>
      </c>
      <c r="B552" s="15">
        <v>1410.800049</v>
      </c>
      <c r="C552" s="15">
        <v>1419.949951</v>
      </c>
      <c r="D552" s="15">
        <v>1405.400024</v>
      </c>
      <c r="E552" s="15">
        <v>1418.5</v>
      </c>
      <c r="F552" s="15">
        <v>1400.374146</v>
      </c>
      <c r="G552" s="15">
        <v>7735313.0</v>
      </c>
      <c r="H552" s="19">
        <f t="shared" si="1"/>
        <v>0.01790387867</v>
      </c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8">
        <v>45155.0</v>
      </c>
      <c r="B553" s="15">
        <v>1420.0</v>
      </c>
      <c r="C553" s="15">
        <v>1420.0</v>
      </c>
      <c r="D553" s="15">
        <v>1406.0</v>
      </c>
      <c r="E553" s="15">
        <v>1411.550049</v>
      </c>
      <c r="F553" s="15">
        <v>1393.513062</v>
      </c>
      <c r="G553" s="15">
        <v>5618346.0</v>
      </c>
      <c r="H553" s="19">
        <f t="shared" si="1"/>
        <v>-0.004899507226</v>
      </c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8">
        <v>45156.0</v>
      </c>
      <c r="B554" s="15">
        <v>1403.699951</v>
      </c>
      <c r="C554" s="15">
        <v>1408.699951</v>
      </c>
      <c r="D554" s="15">
        <v>1386.150024</v>
      </c>
      <c r="E554" s="15">
        <v>1388.800049</v>
      </c>
      <c r="F554" s="15">
        <v>1371.053711</v>
      </c>
      <c r="G554" s="15">
        <v>5134103.0</v>
      </c>
      <c r="H554" s="19">
        <f t="shared" si="1"/>
        <v>-0.01611703391</v>
      </c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8">
        <v>45159.0</v>
      </c>
      <c r="B555" s="15">
        <v>1389.75</v>
      </c>
      <c r="C555" s="15">
        <v>1407.0</v>
      </c>
      <c r="D555" s="15">
        <v>1387.150024</v>
      </c>
      <c r="E555" s="15">
        <v>1405.400024</v>
      </c>
      <c r="F555" s="15">
        <v>1387.44165</v>
      </c>
      <c r="G555" s="15">
        <v>3032722.0</v>
      </c>
      <c r="H555" s="19">
        <f t="shared" si="1"/>
        <v>0.01195274655</v>
      </c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8">
        <v>45160.0</v>
      </c>
      <c r="B556" s="15">
        <v>1404.699951</v>
      </c>
      <c r="C556" s="15">
        <v>1406.050049</v>
      </c>
      <c r="D556" s="15">
        <v>1396.650024</v>
      </c>
      <c r="E556" s="15">
        <v>1403.75</v>
      </c>
      <c r="F556" s="15">
        <v>1385.812622</v>
      </c>
      <c r="G556" s="15">
        <v>2890714.0</v>
      </c>
      <c r="H556" s="19">
        <f t="shared" si="1"/>
        <v>-0.001174060034</v>
      </c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8">
        <v>45161.0</v>
      </c>
      <c r="B557" s="15">
        <v>1416.0</v>
      </c>
      <c r="C557" s="15">
        <v>1416.599976</v>
      </c>
      <c r="D557" s="15">
        <v>1405.650024</v>
      </c>
      <c r="E557" s="15">
        <v>1407.949951</v>
      </c>
      <c r="F557" s="15">
        <v>1389.958984</v>
      </c>
      <c r="G557" s="15">
        <v>2559125.0</v>
      </c>
      <c r="H557" s="19">
        <f t="shared" si="1"/>
        <v>0.002991950846</v>
      </c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8">
        <v>45162.0</v>
      </c>
      <c r="B558" s="15">
        <v>1421.5</v>
      </c>
      <c r="C558" s="15">
        <v>1425.050049</v>
      </c>
      <c r="D558" s="15">
        <v>1414.449951</v>
      </c>
      <c r="E558" s="15">
        <v>1423.599976</v>
      </c>
      <c r="F558" s="15">
        <v>1405.408936</v>
      </c>
      <c r="G558" s="15">
        <v>5171963.0</v>
      </c>
      <c r="H558" s="19">
        <f t="shared" si="1"/>
        <v>0.01111546969</v>
      </c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8">
        <v>45163.0</v>
      </c>
      <c r="B559" s="15">
        <v>1413.0</v>
      </c>
      <c r="C559" s="15">
        <v>1422.5</v>
      </c>
      <c r="D559" s="15">
        <v>1411.400024</v>
      </c>
      <c r="E559" s="15">
        <v>1420.099976</v>
      </c>
      <c r="F559" s="15">
        <v>1401.953735</v>
      </c>
      <c r="G559" s="15">
        <v>4307172.0</v>
      </c>
      <c r="H559" s="19">
        <f t="shared" si="1"/>
        <v>-0.002458555816</v>
      </c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8">
        <v>45166.0</v>
      </c>
      <c r="B560" s="15">
        <v>1420.099976</v>
      </c>
      <c r="C560" s="15">
        <v>1424.800049</v>
      </c>
      <c r="D560" s="15">
        <v>1411.400024</v>
      </c>
      <c r="E560" s="15">
        <v>1415.650024</v>
      </c>
      <c r="F560" s="15">
        <v>1397.560669</v>
      </c>
      <c r="G560" s="15">
        <v>3133464.0</v>
      </c>
      <c r="H560" s="19">
        <f t="shared" si="1"/>
        <v>-0.003133548395</v>
      </c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8">
        <v>45167.0</v>
      </c>
      <c r="B561" s="15">
        <v>1424.0</v>
      </c>
      <c r="C561" s="15">
        <v>1424.400024</v>
      </c>
      <c r="D561" s="15">
        <v>1415.300049</v>
      </c>
      <c r="E561" s="15">
        <v>1417.650024</v>
      </c>
      <c r="F561" s="15">
        <v>1399.535034</v>
      </c>
      <c r="G561" s="15">
        <v>3074444.0</v>
      </c>
      <c r="H561" s="19">
        <f t="shared" si="1"/>
        <v>0.001412778558</v>
      </c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8">
        <v>45168.0</v>
      </c>
      <c r="B562" s="15">
        <v>1427.0</v>
      </c>
      <c r="C562" s="15">
        <v>1436.650024</v>
      </c>
      <c r="D562" s="15">
        <v>1424.0</v>
      </c>
      <c r="E562" s="15">
        <v>1435.150024</v>
      </c>
      <c r="F562" s="15">
        <v>1416.811401</v>
      </c>
      <c r="G562" s="15">
        <v>3070887.0</v>
      </c>
      <c r="H562" s="19">
        <f t="shared" si="1"/>
        <v>0.01234437252</v>
      </c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8">
        <v>45169.0</v>
      </c>
      <c r="B563" s="15">
        <v>1435.150024</v>
      </c>
      <c r="C563" s="15">
        <v>1444.900024</v>
      </c>
      <c r="D563" s="15">
        <v>1428.650024</v>
      </c>
      <c r="E563" s="15">
        <v>1435.449951</v>
      </c>
      <c r="F563" s="15">
        <v>1417.107544</v>
      </c>
      <c r="G563" s="15">
        <v>9792735.0</v>
      </c>
      <c r="H563" s="19">
        <f t="shared" si="1"/>
        <v>0.0002089865136</v>
      </c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8">
        <v>45170.0</v>
      </c>
      <c r="B564" s="15">
        <v>1430.949951</v>
      </c>
      <c r="C564" s="15">
        <v>1446.0</v>
      </c>
      <c r="D564" s="15">
        <v>1428.199951</v>
      </c>
      <c r="E564" s="15">
        <v>1443.849976</v>
      </c>
      <c r="F564" s="15">
        <v>1425.400269</v>
      </c>
      <c r="G564" s="15">
        <v>3582133.0</v>
      </c>
      <c r="H564" s="19">
        <f t="shared" si="1"/>
        <v>0.005851841086</v>
      </c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8">
        <v>45173.0</v>
      </c>
      <c r="B565" s="15">
        <v>1443.0</v>
      </c>
      <c r="C565" s="15">
        <v>1470.0</v>
      </c>
      <c r="D565" s="15">
        <v>1434.699951</v>
      </c>
      <c r="E565" s="15">
        <v>1465.099976</v>
      </c>
      <c r="F565" s="15">
        <v>1446.378662</v>
      </c>
      <c r="G565" s="15">
        <v>4609014.0</v>
      </c>
      <c r="H565" s="19">
        <f t="shared" si="1"/>
        <v>0.01471759556</v>
      </c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8">
        <v>45174.0</v>
      </c>
      <c r="B566" s="15">
        <v>1465.0</v>
      </c>
      <c r="C566" s="15">
        <v>1480.050049</v>
      </c>
      <c r="D566" s="15">
        <v>1456.5</v>
      </c>
      <c r="E566" s="15">
        <v>1478.900024</v>
      </c>
      <c r="F566" s="15">
        <v>1460.002441</v>
      </c>
      <c r="G566" s="15">
        <v>5496840.0</v>
      </c>
      <c r="H566" s="19">
        <f t="shared" si="1"/>
        <v>0.009419185193</v>
      </c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8">
        <v>45175.0</v>
      </c>
      <c r="B567" s="15">
        <v>1481.900024</v>
      </c>
      <c r="C567" s="15">
        <v>1482.900024</v>
      </c>
      <c r="D567" s="15">
        <v>1463.300049</v>
      </c>
      <c r="E567" s="15">
        <v>1477.449951</v>
      </c>
      <c r="F567" s="15">
        <v>1458.570801</v>
      </c>
      <c r="G567" s="15">
        <v>5075786.0</v>
      </c>
      <c r="H567" s="19">
        <f t="shared" si="1"/>
        <v>-0.0009805077939</v>
      </c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8">
        <v>45176.0</v>
      </c>
      <c r="B568" s="15">
        <v>1470.599976</v>
      </c>
      <c r="C568" s="15">
        <v>1473.400024</v>
      </c>
      <c r="D568" s="15">
        <v>1462.050049</v>
      </c>
      <c r="E568" s="15">
        <v>1466.199951</v>
      </c>
      <c r="F568" s="15">
        <v>1447.4646</v>
      </c>
      <c r="G568" s="15">
        <v>4411743.0</v>
      </c>
      <c r="H568" s="19">
        <f t="shared" si="1"/>
        <v>-0.007614471131</v>
      </c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8">
        <v>45177.0</v>
      </c>
      <c r="B569" s="15">
        <v>1463.5</v>
      </c>
      <c r="C569" s="15">
        <v>1474.75</v>
      </c>
      <c r="D569" s="15">
        <v>1460.199951</v>
      </c>
      <c r="E569" s="15">
        <v>1469.599976</v>
      </c>
      <c r="F569" s="15">
        <v>1450.821167</v>
      </c>
      <c r="G569" s="15">
        <v>3125838.0</v>
      </c>
      <c r="H569" s="19">
        <f t="shared" si="1"/>
        <v>0.002318936785</v>
      </c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8">
        <v>45180.0</v>
      </c>
      <c r="B570" s="15">
        <v>1469.599976</v>
      </c>
      <c r="C570" s="15">
        <v>1478.050049</v>
      </c>
      <c r="D570" s="15">
        <v>1464.5</v>
      </c>
      <c r="E570" s="15">
        <v>1476.449951</v>
      </c>
      <c r="F570" s="15">
        <v>1457.583618</v>
      </c>
      <c r="G570" s="15">
        <v>4182226.0</v>
      </c>
      <c r="H570" s="19">
        <f t="shared" si="1"/>
        <v>0.004661115346</v>
      </c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8">
        <v>45181.0</v>
      </c>
      <c r="B571" s="15">
        <v>1482.5</v>
      </c>
      <c r="C571" s="15">
        <v>1504.0</v>
      </c>
      <c r="D571" s="15">
        <v>1477.099976</v>
      </c>
      <c r="E571" s="15">
        <v>1501.099976</v>
      </c>
      <c r="F571" s="15">
        <v>1481.918701</v>
      </c>
      <c r="G571" s="15">
        <v>6793161.0</v>
      </c>
      <c r="H571" s="19">
        <f t="shared" si="1"/>
        <v>0.01669546942</v>
      </c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8">
        <v>45182.0</v>
      </c>
      <c r="B572" s="15">
        <v>1505.0</v>
      </c>
      <c r="C572" s="15">
        <v>1505.0</v>
      </c>
      <c r="D572" s="15">
        <v>1488.650024</v>
      </c>
      <c r="E572" s="15">
        <v>1498.349976</v>
      </c>
      <c r="F572" s="15">
        <v>1479.203857</v>
      </c>
      <c r="G572" s="15">
        <v>4804686.0</v>
      </c>
      <c r="H572" s="19">
        <f t="shared" si="1"/>
        <v>-0.001831989903</v>
      </c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8">
        <v>45183.0</v>
      </c>
      <c r="B573" s="15">
        <v>1505.0</v>
      </c>
      <c r="C573" s="15">
        <v>1512.550049</v>
      </c>
      <c r="D573" s="15">
        <v>1499.150024</v>
      </c>
      <c r="E573" s="15">
        <v>1506.949951</v>
      </c>
      <c r="F573" s="15">
        <v>1487.693848</v>
      </c>
      <c r="G573" s="15">
        <v>6444213.0</v>
      </c>
      <c r="H573" s="19">
        <f t="shared" si="1"/>
        <v>0.005739630352</v>
      </c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8">
        <v>45184.0</v>
      </c>
      <c r="B574" s="15">
        <v>1518.0</v>
      </c>
      <c r="C574" s="15">
        <v>1518.400024</v>
      </c>
      <c r="D574" s="15">
        <v>1509.0</v>
      </c>
      <c r="E574" s="15">
        <v>1511.599976</v>
      </c>
      <c r="F574" s="15">
        <v>1492.284546</v>
      </c>
      <c r="G574" s="15">
        <v>8657816.0</v>
      </c>
      <c r="H574" s="19">
        <f t="shared" si="1"/>
        <v>0.0030857196</v>
      </c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8">
        <v>45187.0</v>
      </c>
      <c r="B575" s="15">
        <v>1504.900024</v>
      </c>
      <c r="C575" s="15">
        <v>1504.900024</v>
      </c>
      <c r="D575" s="15">
        <v>1488.0</v>
      </c>
      <c r="E575" s="15">
        <v>1491.800049</v>
      </c>
      <c r="F575" s="15">
        <v>1472.737549</v>
      </c>
      <c r="G575" s="15">
        <v>3991916.0</v>
      </c>
      <c r="H575" s="19">
        <f t="shared" si="1"/>
        <v>-0.01309865528</v>
      </c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8">
        <v>45189.0</v>
      </c>
      <c r="B576" s="15">
        <v>1476.199951</v>
      </c>
      <c r="C576" s="15">
        <v>1495.099976</v>
      </c>
      <c r="D576" s="15">
        <v>1476.199951</v>
      </c>
      <c r="E576" s="15">
        <v>1490.25</v>
      </c>
      <c r="F576" s="15">
        <v>1471.207397</v>
      </c>
      <c r="G576" s="15">
        <v>4169337.0</v>
      </c>
      <c r="H576" s="19">
        <f t="shared" si="1"/>
        <v>-0.001039046085</v>
      </c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8">
        <v>45190.0</v>
      </c>
      <c r="B577" s="15">
        <v>1486.550049</v>
      </c>
      <c r="C577" s="15">
        <v>1504.550049</v>
      </c>
      <c r="D577" s="15">
        <v>1476.0</v>
      </c>
      <c r="E577" s="15">
        <v>1501.75</v>
      </c>
      <c r="F577" s="15">
        <v>1482.560425</v>
      </c>
      <c r="G577" s="15">
        <v>6779195.0</v>
      </c>
      <c r="H577" s="19">
        <f t="shared" si="1"/>
        <v>0.007716826036</v>
      </c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8">
        <v>45191.0</v>
      </c>
      <c r="B578" s="15">
        <v>1491.900024</v>
      </c>
      <c r="C578" s="15">
        <v>1506.949951</v>
      </c>
      <c r="D578" s="15">
        <v>1485.199951</v>
      </c>
      <c r="E578" s="15">
        <v>1496.150024</v>
      </c>
      <c r="F578" s="15">
        <v>1477.031982</v>
      </c>
      <c r="G578" s="15">
        <v>5455613.0</v>
      </c>
      <c r="H578" s="19">
        <f t="shared" si="1"/>
        <v>-0.003728966872</v>
      </c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8">
        <v>45194.0</v>
      </c>
      <c r="B579" s="15">
        <v>1489.849976</v>
      </c>
      <c r="C579" s="15">
        <v>1489.849976</v>
      </c>
      <c r="D579" s="15">
        <v>1471.550049</v>
      </c>
      <c r="E579" s="15">
        <v>1474.150024</v>
      </c>
      <c r="F579" s="15">
        <v>1455.31311</v>
      </c>
      <c r="G579" s="15">
        <v>4217863.0</v>
      </c>
      <c r="H579" s="19">
        <f t="shared" si="1"/>
        <v>-0.01470440774</v>
      </c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8">
        <v>45195.0</v>
      </c>
      <c r="B580" s="15">
        <v>1479.150024</v>
      </c>
      <c r="C580" s="15">
        <v>1479.900024</v>
      </c>
      <c r="D580" s="15">
        <v>1459.0</v>
      </c>
      <c r="E580" s="15">
        <v>1460.650024</v>
      </c>
      <c r="F580" s="15">
        <v>1441.985596</v>
      </c>
      <c r="G580" s="15">
        <v>3996528.0</v>
      </c>
      <c r="H580" s="19">
        <f t="shared" si="1"/>
        <v>-0.009157819611</v>
      </c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8">
        <v>45196.0</v>
      </c>
      <c r="B581" s="15">
        <v>1456.0</v>
      </c>
      <c r="C581" s="15">
        <v>1469.599976</v>
      </c>
      <c r="D581" s="15">
        <v>1450.050049</v>
      </c>
      <c r="E581" s="15">
        <v>1467.0</v>
      </c>
      <c r="F581" s="15">
        <v>1448.254395</v>
      </c>
      <c r="G581" s="15">
        <v>3863586.0</v>
      </c>
      <c r="H581" s="19">
        <f t="shared" si="1"/>
        <v>0.004347363089</v>
      </c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8">
        <v>45197.0</v>
      </c>
      <c r="B582" s="15">
        <v>1467.900024</v>
      </c>
      <c r="C582" s="15">
        <v>1472.599976</v>
      </c>
      <c r="D582" s="15">
        <v>1435.0</v>
      </c>
      <c r="E582" s="15">
        <v>1439.449951</v>
      </c>
      <c r="F582" s="15">
        <v>1421.056396</v>
      </c>
      <c r="G582" s="15">
        <v>5814602.0</v>
      </c>
      <c r="H582" s="19">
        <f t="shared" si="1"/>
        <v>-0.01877985617</v>
      </c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8">
        <v>45198.0</v>
      </c>
      <c r="B583" s="15">
        <v>1432.099976</v>
      </c>
      <c r="C583" s="15">
        <v>1446.800049</v>
      </c>
      <c r="D583" s="15">
        <v>1416.0</v>
      </c>
      <c r="E583" s="15">
        <v>1435.449951</v>
      </c>
      <c r="F583" s="15">
        <v>1417.107544</v>
      </c>
      <c r="G583" s="15">
        <v>6068968.0</v>
      </c>
      <c r="H583" s="19">
        <f t="shared" si="1"/>
        <v>-0.002778839235</v>
      </c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8">
        <v>45202.0</v>
      </c>
      <c r="B584" s="15">
        <v>1436.050049</v>
      </c>
      <c r="C584" s="15">
        <v>1437.0</v>
      </c>
      <c r="D584" s="15">
        <v>1420.300049</v>
      </c>
      <c r="E584" s="15">
        <v>1434.0</v>
      </c>
      <c r="F584" s="15">
        <v>1415.676147</v>
      </c>
      <c r="G584" s="15">
        <v>4181867.0</v>
      </c>
      <c r="H584" s="19">
        <f t="shared" si="1"/>
        <v>-0.001010102093</v>
      </c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8">
        <v>45203.0</v>
      </c>
      <c r="B585" s="15">
        <v>1425.0</v>
      </c>
      <c r="C585" s="15">
        <v>1449.949951</v>
      </c>
      <c r="D585" s="15">
        <v>1418.199951</v>
      </c>
      <c r="E585" s="15">
        <v>1444.349976</v>
      </c>
      <c r="F585" s="15">
        <v>1425.893799</v>
      </c>
      <c r="G585" s="15">
        <v>4510406.0</v>
      </c>
      <c r="H585" s="19">
        <f t="shared" si="1"/>
        <v>0.007217556485</v>
      </c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8">
        <v>45204.0</v>
      </c>
      <c r="B586" s="15">
        <v>1452.0</v>
      </c>
      <c r="C586" s="15">
        <v>1475.650024</v>
      </c>
      <c r="D586" s="15">
        <v>1450.199951</v>
      </c>
      <c r="E586" s="15">
        <v>1463.449951</v>
      </c>
      <c r="F586" s="15">
        <v>1444.749756</v>
      </c>
      <c r="G586" s="15">
        <v>7384621.0</v>
      </c>
      <c r="H586" s="19">
        <f t="shared" si="1"/>
        <v>0.01322392448</v>
      </c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8">
        <v>45205.0</v>
      </c>
      <c r="B587" s="15">
        <v>1469.5</v>
      </c>
      <c r="C587" s="15">
        <v>1484.5</v>
      </c>
      <c r="D587" s="15">
        <v>1463.300049</v>
      </c>
      <c r="E587" s="15">
        <v>1478.699951</v>
      </c>
      <c r="F587" s="15">
        <v>1459.804932</v>
      </c>
      <c r="G587" s="15">
        <v>3598672.0</v>
      </c>
      <c r="H587" s="19">
        <f t="shared" si="1"/>
        <v>0.01042058185</v>
      </c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8">
        <v>45208.0</v>
      </c>
      <c r="B588" s="15">
        <v>1464.900024</v>
      </c>
      <c r="C588" s="15">
        <v>1491.0</v>
      </c>
      <c r="D588" s="15">
        <v>1462.199951</v>
      </c>
      <c r="E588" s="15">
        <v>1475.449951</v>
      </c>
      <c r="F588" s="15">
        <v>1456.596436</v>
      </c>
      <c r="G588" s="15">
        <v>3567552.0</v>
      </c>
      <c r="H588" s="19">
        <f t="shared" si="1"/>
        <v>-0.002197876586</v>
      </c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8">
        <v>45209.0</v>
      </c>
      <c r="B589" s="15">
        <v>1483.900024</v>
      </c>
      <c r="C589" s="15">
        <v>1497.0</v>
      </c>
      <c r="D589" s="15">
        <v>1469.099976</v>
      </c>
      <c r="E589" s="15">
        <v>1495.150024</v>
      </c>
      <c r="F589" s="15">
        <v>1476.0448</v>
      </c>
      <c r="G589" s="15">
        <v>5688951.0</v>
      </c>
      <c r="H589" s="19">
        <f t="shared" si="1"/>
        <v>0.01335190867</v>
      </c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8">
        <v>45210.0</v>
      </c>
      <c r="B590" s="15">
        <v>1497.0</v>
      </c>
      <c r="C590" s="15">
        <v>1518.25</v>
      </c>
      <c r="D590" s="15">
        <v>1481.449951</v>
      </c>
      <c r="E590" s="15">
        <v>1494.400024</v>
      </c>
      <c r="F590" s="15">
        <v>1475.304321</v>
      </c>
      <c r="G590" s="15">
        <v>7220129.0</v>
      </c>
      <c r="H590" s="19">
        <f t="shared" si="1"/>
        <v>-0.0005016219028</v>
      </c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8">
        <v>45211.0</v>
      </c>
      <c r="B591" s="15">
        <v>1491.900024</v>
      </c>
      <c r="C591" s="15">
        <v>1504.400024</v>
      </c>
      <c r="D591" s="15">
        <v>1452.0</v>
      </c>
      <c r="E591" s="15">
        <v>1465.5</v>
      </c>
      <c r="F591" s="15">
        <v>1446.77356</v>
      </c>
      <c r="G591" s="15">
        <v>1.1081662E7</v>
      </c>
      <c r="H591" s="19">
        <f t="shared" si="1"/>
        <v>-0.01933888085</v>
      </c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8">
        <v>45212.0</v>
      </c>
      <c r="B592" s="15">
        <v>1405.0</v>
      </c>
      <c r="C592" s="15">
        <v>1438.0</v>
      </c>
      <c r="D592" s="15">
        <v>1400.0</v>
      </c>
      <c r="E592" s="15">
        <v>1431.150024</v>
      </c>
      <c r="F592" s="15">
        <v>1412.862549</v>
      </c>
      <c r="G592" s="15">
        <v>1.7973439E7</v>
      </c>
      <c r="H592" s="19">
        <f t="shared" si="1"/>
        <v>-0.02343908291</v>
      </c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8">
        <v>45215.0</v>
      </c>
      <c r="B593" s="15">
        <v>1432.099976</v>
      </c>
      <c r="C593" s="15">
        <v>1443.599976</v>
      </c>
      <c r="D593" s="15">
        <v>1430.0</v>
      </c>
      <c r="E593" s="15">
        <v>1434.150024</v>
      </c>
      <c r="F593" s="15">
        <v>1415.824219</v>
      </c>
      <c r="G593" s="15">
        <v>4850745.0</v>
      </c>
      <c r="H593" s="19">
        <f t="shared" si="1"/>
        <v>0.002096216294</v>
      </c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8">
        <v>45216.0</v>
      </c>
      <c r="B594" s="15">
        <v>1440.25</v>
      </c>
      <c r="C594" s="15">
        <v>1453.349976</v>
      </c>
      <c r="D594" s="15">
        <v>1438.050049</v>
      </c>
      <c r="E594" s="15">
        <v>1442.449951</v>
      </c>
      <c r="F594" s="15">
        <v>1424.018066</v>
      </c>
      <c r="G594" s="15">
        <v>3923764.0</v>
      </c>
      <c r="H594" s="19">
        <f t="shared" si="1"/>
        <v>0.005787349204</v>
      </c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8">
        <v>45217.0</v>
      </c>
      <c r="B595" s="15">
        <v>1442.0</v>
      </c>
      <c r="C595" s="15">
        <v>1454.0</v>
      </c>
      <c r="D595" s="15">
        <v>1438.349976</v>
      </c>
      <c r="E595" s="15">
        <v>1440.550049</v>
      </c>
      <c r="F595" s="15">
        <v>1422.142456</v>
      </c>
      <c r="G595" s="15">
        <v>4264837.0</v>
      </c>
      <c r="H595" s="19">
        <f t="shared" si="1"/>
        <v>-0.001317135474</v>
      </c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8">
        <v>45218.0</v>
      </c>
      <c r="B596" s="15">
        <v>1426.099976</v>
      </c>
      <c r="C596" s="15">
        <v>1439.650024</v>
      </c>
      <c r="D596" s="15">
        <v>1426.099976</v>
      </c>
      <c r="E596" s="15">
        <v>1433.650024</v>
      </c>
      <c r="F596" s="15">
        <v>1415.330566</v>
      </c>
      <c r="G596" s="15">
        <v>6795691.0</v>
      </c>
      <c r="H596" s="19">
        <f t="shared" si="1"/>
        <v>-0.004789854407</v>
      </c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8">
        <v>45219.0</v>
      </c>
      <c r="B597" s="15">
        <v>1430.0</v>
      </c>
      <c r="C597" s="15">
        <v>1438.5</v>
      </c>
      <c r="D597" s="15">
        <v>1425.25</v>
      </c>
      <c r="E597" s="15">
        <v>1427.25</v>
      </c>
      <c r="F597" s="15">
        <v>1409.012329</v>
      </c>
      <c r="G597" s="15">
        <v>3928622.0</v>
      </c>
      <c r="H597" s="19">
        <f t="shared" si="1"/>
        <v>-0.004464146684</v>
      </c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8">
        <v>45222.0</v>
      </c>
      <c r="B598" s="15">
        <v>1425.599976</v>
      </c>
      <c r="C598" s="15">
        <v>1432.349976</v>
      </c>
      <c r="D598" s="15">
        <v>1405.25</v>
      </c>
      <c r="E598" s="15">
        <v>1408.650024</v>
      </c>
      <c r="F598" s="15">
        <v>1390.650024</v>
      </c>
      <c r="G598" s="15">
        <v>2636516.0</v>
      </c>
      <c r="H598" s="19">
        <f t="shared" si="1"/>
        <v>-0.01303203783</v>
      </c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8">
        <v>45224.0</v>
      </c>
      <c r="B599" s="15">
        <v>1399.0</v>
      </c>
      <c r="C599" s="15">
        <v>1402.550049</v>
      </c>
      <c r="D599" s="15">
        <v>1361.300049</v>
      </c>
      <c r="E599" s="15">
        <v>1370.050049</v>
      </c>
      <c r="F599" s="15">
        <v>1370.050049</v>
      </c>
      <c r="G599" s="15">
        <v>6940777.0</v>
      </c>
      <c r="H599" s="19">
        <f t="shared" si="1"/>
        <v>-0.02740210439</v>
      </c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8">
        <v>45225.0</v>
      </c>
      <c r="B600" s="15">
        <v>1355.050049</v>
      </c>
      <c r="C600" s="15">
        <v>1374.0</v>
      </c>
      <c r="D600" s="15">
        <v>1353.099976</v>
      </c>
      <c r="E600" s="15">
        <v>1359.449951</v>
      </c>
      <c r="F600" s="15">
        <v>1359.449951</v>
      </c>
      <c r="G600" s="15">
        <v>6357656.0</v>
      </c>
      <c r="H600" s="19">
        <f t="shared" si="1"/>
        <v>-0.007737015161</v>
      </c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8">
        <v>45226.0</v>
      </c>
      <c r="B601" s="15">
        <v>1363.650024</v>
      </c>
      <c r="C601" s="15">
        <v>1385.0</v>
      </c>
      <c r="D601" s="15">
        <v>1363.650024</v>
      </c>
      <c r="E601" s="15">
        <v>1380.349976</v>
      </c>
      <c r="F601" s="15">
        <v>1380.349976</v>
      </c>
      <c r="G601" s="15">
        <v>4634358.0</v>
      </c>
      <c r="H601" s="19">
        <f t="shared" si="1"/>
        <v>0.01537388337</v>
      </c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8">
        <v>45229.0</v>
      </c>
      <c r="B602" s="15">
        <v>1380.349976</v>
      </c>
      <c r="C602" s="15">
        <v>1380.349976</v>
      </c>
      <c r="D602" s="15">
        <v>1363.099976</v>
      </c>
      <c r="E602" s="15">
        <v>1377.050049</v>
      </c>
      <c r="F602" s="15">
        <v>1377.050049</v>
      </c>
      <c r="G602" s="15">
        <v>2667696.0</v>
      </c>
      <c r="H602" s="19">
        <f t="shared" si="1"/>
        <v>-0.002390645168</v>
      </c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8">
        <v>45230.0</v>
      </c>
      <c r="B603" s="15">
        <v>1379.949951</v>
      </c>
      <c r="C603" s="15">
        <v>1381.150024</v>
      </c>
      <c r="D603" s="15">
        <v>1363.0</v>
      </c>
      <c r="E603" s="15">
        <v>1368.400024</v>
      </c>
      <c r="F603" s="15">
        <v>1368.400024</v>
      </c>
      <c r="G603" s="15">
        <v>3451595.0</v>
      </c>
      <c r="H603" s="19">
        <f t="shared" si="1"/>
        <v>-0.006281561811</v>
      </c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8">
        <v>45231.0</v>
      </c>
      <c r="B604" s="15">
        <v>1373.050049</v>
      </c>
      <c r="C604" s="15">
        <v>1377.449951</v>
      </c>
      <c r="D604" s="15">
        <v>1351.650024</v>
      </c>
      <c r="E604" s="15">
        <v>1354.150024</v>
      </c>
      <c r="F604" s="15">
        <v>1354.150024</v>
      </c>
      <c r="G604" s="15">
        <v>3090672.0</v>
      </c>
      <c r="H604" s="19">
        <f t="shared" si="1"/>
        <v>-0.01041362157</v>
      </c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8">
        <v>45232.0</v>
      </c>
      <c r="B605" s="15">
        <v>1370.0</v>
      </c>
      <c r="C605" s="15">
        <v>1376.300049</v>
      </c>
      <c r="D605" s="15">
        <v>1361.650024</v>
      </c>
      <c r="E605" s="15">
        <v>1370.150024</v>
      </c>
      <c r="F605" s="15">
        <v>1370.150024</v>
      </c>
      <c r="G605" s="15">
        <v>3758060.0</v>
      </c>
      <c r="H605" s="19">
        <f t="shared" si="1"/>
        <v>0.01181552983</v>
      </c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8">
        <v>45233.0</v>
      </c>
      <c r="B606" s="15">
        <v>1380.050049</v>
      </c>
      <c r="C606" s="15">
        <v>1392.0</v>
      </c>
      <c r="D606" s="15">
        <v>1377.75</v>
      </c>
      <c r="E606" s="15">
        <v>1389.050049</v>
      </c>
      <c r="F606" s="15">
        <v>1389.050049</v>
      </c>
      <c r="G606" s="15">
        <v>3349045.0</v>
      </c>
      <c r="H606" s="19">
        <f t="shared" si="1"/>
        <v>0.01379412814</v>
      </c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8">
        <v>45236.0</v>
      </c>
      <c r="B607" s="15">
        <v>1393.900024</v>
      </c>
      <c r="C607" s="15">
        <v>1407.25</v>
      </c>
      <c r="D607" s="15">
        <v>1390.800049</v>
      </c>
      <c r="E607" s="15">
        <v>1403.300049</v>
      </c>
      <c r="F607" s="15">
        <v>1403.300049</v>
      </c>
      <c r="G607" s="15">
        <v>2736381.0</v>
      </c>
      <c r="H607" s="19">
        <f t="shared" si="1"/>
        <v>0.01025880962</v>
      </c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8">
        <v>45237.0</v>
      </c>
      <c r="B608" s="15">
        <v>1400.0</v>
      </c>
      <c r="C608" s="15">
        <v>1405.900024</v>
      </c>
      <c r="D608" s="15">
        <v>1394.849976</v>
      </c>
      <c r="E608" s="15">
        <v>1404.300049</v>
      </c>
      <c r="F608" s="15">
        <v>1404.300049</v>
      </c>
      <c r="G608" s="15">
        <v>2272209.0</v>
      </c>
      <c r="H608" s="19">
        <f t="shared" si="1"/>
        <v>0.0007126059753</v>
      </c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8">
        <v>45238.0</v>
      </c>
      <c r="B609" s="15">
        <v>1405.0</v>
      </c>
      <c r="C609" s="15">
        <v>1405.0</v>
      </c>
      <c r="D609" s="15">
        <v>1386.449951</v>
      </c>
      <c r="E609" s="15">
        <v>1391.0</v>
      </c>
      <c r="F609" s="15">
        <v>1391.0</v>
      </c>
      <c r="G609" s="15">
        <v>3550635.0</v>
      </c>
      <c r="H609" s="19">
        <f t="shared" si="1"/>
        <v>-0.009470945336</v>
      </c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8">
        <v>45239.0</v>
      </c>
      <c r="B610" s="15">
        <v>1395.900024</v>
      </c>
      <c r="C610" s="15">
        <v>1397.5</v>
      </c>
      <c r="D610" s="15">
        <v>1370.050049</v>
      </c>
      <c r="E610" s="15">
        <v>1374.800049</v>
      </c>
      <c r="F610" s="15">
        <v>1374.800049</v>
      </c>
      <c r="G610" s="15">
        <v>5498051.0</v>
      </c>
      <c r="H610" s="19">
        <f t="shared" si="1"/>
        <v>-0.0116462624</v>
      </c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8">
        <v>45240.0</v>
      </c>
      <c r="B611" s="15">
        <v>1369.949951</v>
      </c>
      <c r="C611" s="15">
        <v>1373.150024</v>
      </c>
      <c r="D611" s="15">
        <v>1361.0</v>
      </c>
      <c r="E611" s="15">
        <v>1368.849976</v>
      </c>
      <c r="F611" s="15">
        <v>1368.849976</v>
      </c>
      <c r="G611" s="15">
        <v>2943649.0</v>
      </c>
      <c r="H611" s="19">
        <f t="shared" si="1"/>
        <v>-0.004327955185</v>
      </c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8">
        <v>45243.0</v>
      </c>
      <c r="B612" s="15">
        <v>1379.849976</v>
      </c>
      <c r="C612" s="15">
        <v>1382.449951</v>
      </c>
      <c r="D612" s="15">
        <v>1370.849976</v>
      </c>
      <c r="E612" s="15">
        <v>1373.550049</v>
      </c>
      <c r="F612" s="15">
        <v>1373.550049</v>
      </c>
      <c r="G612" s="15">
        <v>3462092.0</v>
      </c>
      <c r="H612" s="19">
        <f t="shared" si="1"/>
        <v>0.003433592492</v>
      </c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8">
        <v>45245.0</v>
      </c>
      <c r="B613" s="15">
        <v>1399.0</v>
      </c>
      <c r="C613" s="15">
        <v>1414.0</v>
      </c>
      <c r="D613" s="15">
        <v>1393.0</v>
      </c>
      <c r="E613" s="15">
        <v>1410.5</v>
      </c>
      <c r="F613" s="15">
        <v>1410.5</v>
      </c>
      <c r="G613" s="15">
        <v>8551860.0</v>
      </c>
      <c r="H613" s="19">
        <f t="shared" si="1"/>
        <v>0.02690105907</v>
      </c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8">
        <v>45246.0</v>
      </c>
      <c r="B614" s="15">
        <v>1416.099976</v>
      </c>
      <c r="C614" s="15">
        <v>1453.400024</v>
      </c>
      <c r="D614" s="15">
        <v>1410.599976</v>
      </c>
      <c r="E614" s="15">
        <v>1444.900024</v>
      </c>
      <c r="F614" s="15">
        <v>1444.900024</v>
      </c>
      <c r="G614" s="15">
        <v>6673907.0</v>
      </c>
      <c r="H614" s="19">
        <f t="shared" si="1"/>
        <v>0.02438853173</v>
      </c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8">
        <v>45247.0</v>
      </c>
      <c r="B615" s="15">
        <v>1441.050049</v>
      </c>
      <c r="C615" s="15">
        <v>1451.0</v>
      </c>
      <c r="D615" s="15">
        <v>1435.050049</v>
      </c>
      <c r="E615" s="15">
        <v>1437.550049</v>
      </c>
      <c r="F615" s="15">
        <v>1437.550049</v>
      </c>
      <c r="G615" s="15">
        <v>4901251.0</v>
      </c>
      <c r="H615" s="19">
        <f t="shared" si="1"/>
        <v>-0.005086839835</v>
      </c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8">
        <v>45250.0</v>
      </c>
      <c r="B616" s="15">
        <v>1442.0</v>
      </c>
      <c r="C616" s="15">
        <v>1452.0</v>
      </c>
      <c r="D616" s="15">
        <v>1433.650024</v>
      </c>
      <c r="E616" s="15">
        <v>1436.599976</v>
      </c>
      <c r="F616" s="15">
        <v>1436.599976</v>
      </c>
      <c r="G616" s="15">
        <v>3584210.0</v>
      </c>
      <c r="H616" s="19">
        <f t="shared" si="1"/>
        <v>-0.0006608973376</v>
      </c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8">
        <v>45251.0</v>
      </c>
      <c r="B617" s="15">
        <v>1442.0</v>
      </c>
      <c r="C617" s="15">
        <v>1450.0</v>
      </c>
      <c r="D617" s="15">
        <v>1436.75</v>
      </c>
      <c r="E617" s="15">
        <v>1439.0</v>
      </c>
      <c r="F617" s="15">
        <v>1439.0</v>
      </c>
      <c r="G617" s="15">
        <v>3793135.0</v>
      </c>
      <c r="H617" s="19">
        <f t="shared" si="1"/>
        <v>0.001670627899</v>
      </c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8">
        <v>45252.0</v>
      </c>
      <c r="B618" s="15">
        <v>1436.199951</v>
      </c>
      <c r="C618" s="15">
        <v>1458.949951</v>
      </c>
      <c r="D618" s="15">
        <v>1436.199951</v>
      </c>
      <c r="E618" s="15">
        <v>1457.800049</v>
      </c>
      <c r="F618" s="15">
        <v>1457.800049</v>
      </c>
      <c r="G618" s="15">
        <v>3108786.0</v>
      </c>
      <c r="H618" s="19">
        <f t="shared" si="1"/>
        <v>0.01306466227</v>
      </c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8">
        <v>45253.0</v>
      </c>
      <c r="B619" s="15">
        <v>1467.900024</v>
      </c>
      <c r="C619" s="15">
        <v>1467.900024</v>
      </c>
      <c r="D619" s="15">
        <v>1447.699951</v>
      </c>
      <c r="E619" s="15">
        <v>1449.25</v>
      </c>
      <c r="F619" s="15">
        <v>1449.25</v>
      </c>
      <c r="G619" s="15">
        <v>3186928.0</v>
      </c>
      <c r="H619" s="19">
        <f t="shared" si="1"/>
        <v>-0.005865035473</v>
      </c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8">
        <v>45254.0</v>
      </c>
      <c r="B620" s="15">
        <v>1445.550049</v>
      </c>
      <c r="C620" s="15">
        <v>1452.650024</v>
      </c>
      <c r="D620" s="15">
        <v>1433.849976</v>
      </c>
      <c r="E620" s="15">
        <v>1437.400024</v>
      </c>
      <c r="F620" s="15">
        <v>1437.400024</v>
      </c>
      <c r="G620" s="15">
        <v>2973195.0</v>
      </c>
      <c r="H620" s="19">
        <f t="shared" si="1"/>
        <v>-0.008176626531</v>
      </c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8">
        <v>45258.0</v>
      </c>
      <c r="B621" s="15">
        <v>1444.0</v>
      </c>
      <c r="C621" s="15">
        <v>1445.0</v>
      </c>
      <c r="D621" s="15">
        <v>1427.050049</v>
      </c>
      <c r="E621" s="15">
        <v>1442.699951</v>
      </c>
      <c r="F621" s="15">
        <v>1442.699951</v>
      </c>
      <c r="G621" s="15">
        <v>3755373.0</v>
      </c>
      <c r="H621" s="19">
        <f t="shared" si="1"/>
        <v>0.003687162176</v>
      </c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8">
        <v>45259.0</v>
      </c>
      <c r="B622" s="15">
        <v>1451.099976</v>
      </c>
      <c r="C622" s="15">
        <v>1460.699951</v>
      </c>
      <c r="D622" s="15">
        <v>1449.800049</v>
      </c>
      <c r="E622" s="15">
        <v>1459.599976</v>
      </c>
      <c r="F622" s="15">
        <v>1459.599976</v>
      </c>
      <c r="G622" s="15">
        <v>3875778.0</v>
      </c>
      <c r="H622" s="19">
        <f t="shared" si="1"/>
        <v>0.01171416481</v>
      </c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8">
        <v>45260.0</v>
      </c>
      <c r="B623" s="15">
        <v>1453.25</v>
      </c>
      <c r="C623" s="15">
        <v>1460.650024</v>
      </c>
      <c r="D623" s="15">
        <v>1449.550049</v>
      </c>
      <c r="E623" s="15">
        <v>1455.150024</v>
      </c>
      <c r="F623" s="15">
        <v>1455.150024</v>
      </c>
      <c r="G623" s="15">
        <v>1.0120867E7</v>
      </c>
      <c r="H623" s="19">
        <f t="shared" si="1"/>
        <v>-0.003048747652</v>
      </c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8">
        <v>45261.0</v>
      </c>
      <c r="B624" s="15">
        <v>1459.900024</v>
      </c>
      <c r="C624" s="15">
        <v>1459.900024</v>
      </c>
      <c r="D624" s="15">
        <v>1446.150024</v>
      </c>
      <c r="E624" s="15">
        <v>1452.300049</v>
      </c>
      <c r="F624" s="15">
        <v>1452.300049</v>
      </c>
      <c r="G624" s="15">
        <v>3489187.0</v>
      </c>
      <c r="H624" s="19">
        <f t="shared" si="1"/>
        <v>-0.00195854376</v>
      </c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8">
        <v>45264.0</v>
      </c>
      <c r="B625" s="15">
        <v>1460.449951</v>
      </c>
      <c r="C625" s="15">
        <v>1471.900024</v>
      </c>
      <c r="D625" s="15">
        <v>1449.300049</v>
      </c>
      <c r="E625" s="15">
        <v>1464.349976</v>
      </c>
      <c r="F625" s="15">
        <v>1464.349976</v>
      </c>
      <c r="G625" s="15">
        <v>5511948.0</v>
      </c>
      <c r="H625" s="19">
        <f t="shared" si="1"/>
        <v>0.008297133232</v>
      </c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8">
        <v>45265.0</v>
      </c>
      <c r="B626" s="15">
        <v>1465.800049</v>
      </c>
      <c r="C626" s="15">
        <v>1466.900024</v>
      </c>
      <c r="D626" s="15">
        <v>1442.0</v>
      </c>
      <c r="E626" s="15">
        <v>1453.949951</v>
      </c>
      <c r="F626" s="15">
        <v>1453.949951</v>
      </c>
      <c r="G626" s="15">
        <v>5123039.0</v>
      </c>
      <c r="H626" s="19">
        <f t="shared" si="1"/>
        <v>-0.007102144413</v>
      </c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8">
        <v>45266.0</v>
      </c>
      <c r="B627" s="15">
        <v>1456.75</v>
      </c>
      <c r="C627" s="15">
        <v>1477.0</v>
      </c>
      <c r="D627" s="15">
        <v>1451.050049</v>
      </c>
      <c r="E627" s="15">
        <v>1474.300049</v>
      </c>
      <c r="F627" s="15">
        <v>1474.300049</v>
      </c>
      <c r="G627" s="15">
        <v>5269178.0</v>
      </c>
      <c r="H627" s="19">
        <f t="shared" si="1"/>
        <v>0.01399642263</v>
      </c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8">
        <v>45267.0</v>
      </c>
      <c r="B628" s="15">
        <v>1472.849976</v>
      </c>
      <c r="C628" s="15">
        <v>1472.849976</v>
      </c>
      <c r="D628" s="15">
        <v>1461.800049</v>
      </c>
      <c r="E628" s="15">
        <v>1465.900024</v>
      </c>
      <c r="F628" s="15">
        <v>1465.900024</v>
      </c>
      <c r="G628" s="15">
        <v>4424453.0</v>
      </c>
      <c r="H628" s="19">
        <f t="shared" si="1"/>
        <v>-0.005697635977</v>
      </c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8">
        <v>45268.0</v>
      </c>
      <c r="B629" s="15">
        <v>1470.400024</v>
      </c>
      <c r="C629" s="15">
        <v>1494.699951</v>
      </c>
      <c r="D629" s="15">
        <v>1466.25</v>
      </c>
      <c r="E629" s="15">
        <v>1491.150024</v>
      </c>
      <c r="F629" s="15">
        <v>1491.150024</v>
      </c>
      <c r="G629" s="15">
        <v>6323433.0</v>
      </c>
      <c r="H629" s="19">
        <f t="shared" si="1"/>
        <v>0.01722491274</v>
      </c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8">
        <v>45271.0</v>
      </c>
      <c r="B630" s="15">
        <v>1490.0</v>
      </c>
      <c r="C630" s="15">
        <v>1498.0</v>
      </c>
      <c r="D630" s="15">
        <v>1482.0</v>
      </c>
      <c r="E630" s="15">
        <v>1488.5</v>
      </c>
      <c r="F630" s="15">
        <v>1488.5</v>
      </c>
      <c r="G630" s="15">
        <v>3862018.0</v>
      </c>
      <c r="H630" s="19">
        <f t="shared" si="1"/>
        <v>-0.001777167929</v>
      </c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8">
        <v>45272.0</v>
      </c>
      <c r="B631" s="15">
        <v>1477.5</v>
      </c>
      <c r="C631" s="15">
        <v>1490.0</v>
      </c>
      <c r="D631" s="15">
        <v>1467.650024</v>
      </c>
      <c r="E631" s="15">
        <v>1476.050049</v>
      </c>
      <c r="F631" s="15">
        <v>1476.050049</v>
      </c>
      <c r="G631" s="15">
        <v>6103494.0</v>
      </c>
      <c r="H631" s="19">
        <f t="shared" si="1"/>
        <v>-0.008364092039</v>
      </c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8">
        <v>45273.0</v>
      </c>
      <c r="B632" s="15">
        <v>1476.0</v>
      </c>
      <c r="C632" s="15">
        <v>1476.050049</v>
      </c>
      <c r="D632" s="15">
        <v>1433.150024</v>
      </c>
      <c r="E632" s="15">
        <v>1449.0</v>
      </c>
      <c r="F632" s="15">
        <v>1449.0</v>
      </c>
      <c r="G632" s="15">
        <v>8549258.0</v>
      </c>
      <c r="H632" s="19">
        <f t="shared" si="1"/>
        <v>-0.01832597006</v>
      </c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8">
        <v>45274.0</v>
      </c>
      <c r="B633" s="15">
        <v>1463.400024</v>
      </c>
      <c r="C633" s="15">
        <v>1511.0</v>
      </c>
      <c r="D633" s="15">
        <v>1461.349976</v>
      </c>
      <c r="E633" s="15">
        <v>1501.449951</v>
      </c>
      <c r="F633" s="15">
        <v>1501.449951</v>
      </c>
      <c r="G633" s="15">
        <v>1.2489858E7</v>
      </c>
      <c r="H633" s="19">
        <f t="shared" si="1"/>
        <v>0.03619734369</v>
      </c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8">
        <v>45275.0</v>
      </c>
      <c r="B634" s="15">
        <v>1523.050049</v>
      </c>
      <c r="C634" s="15">
        <v>1588.550049</v>
      </c>
      <c r="D634" s="15">
        <v>1521.0</v>
      </c>
      <c r="E634" s="15">
        <v>1578.400024</v>
      </c>
      <c r="F634" s="15">
        <v>1578.400024</v>
      </c>
      <c r="G634" s="15">
        <v>1.8395389E7</v>
      </c>
      <c r="H634" s="19">
        <f t="shared" si="1"/>
        <v>0.05125050818</v>
      </c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8">
        <v>45278.0</v>
      </c>
      <c r="B635" s="15">
        <v>1567.949951</v>
      </c>
      <c r="C635" s="15">
        <v>1593.0</v>
      </c>
      <c r="D635" s="15">
        <v>1560.300049</v>
      </c>
      <c r="E635" s="15">
        <v>1564.349976</v>
      </c>
      <c r="F635" s="15">
        <v>1564.349976</v>
      </c>
      <c r="G635" s="15">
        <v>6467243.0</v>
      </c>
      <c r="H635" s="19">
        <f t="shared" si="1"/>
        <v>-0.008901449434</v>
      </c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8">
        <v>45279.0</v>
      </c>
      <c r="B636" s="15">
        <v>1570.099976</v>
      </c>
      <c r="C636" s="15">
        <v>1573.949951</v>
      </c>
      <c r="D636" s="15">
        <v>1543.25</v>
      </c>
      <c r="E636" s="15">
        <v>1558.300049</v>
      </c>
      <c r="F636" s="15">
        <v>1558.300049</v>
      </c>
      <c r="G636" s="15">
        <v>4221721.0</v>
      </c>
      <c r="H636" s="19">
        <f t="shared" si="1"/>
        <v>-0.003867374368</v>
      </c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8">
        <v>45280.0</v>
      </c>
      <c r="B637" s="15">
        <v>1565.050049</v>
      </c>
      <c r="C637" s="15">
        <v>1583.5</v>
      </c>
      <c r="D637" s="15">
        <v>1530.0</v>
      </c>
      <c r="E637" s="15">
        <v>1536.400024</v>
      </c>
      <c r="F637" s="15">
        <v>1536.400024</v>
      </c>
      <c r="G637" s="15">
        <v>6592367.0</v>
      </c>
      <c r="H637" s="19">
        <f t="shared" si="1"/>
        <v>-0.01405379215</v>
      </c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8">
        <v>45281.0</v>
      </c>
      <c r="B638" s="15">
        <v>1521.25</v>
      </c>
      <c r="C638" s="15">
        <v>1546.650024</v>
      </c>
      <c r="D638" s="15">
        <v>1521.25</v>
      </c>
      <c r="E638" s="15">
        <v>1536.0</v>
      </c>
      <c r="F638" s="15">
        <v>1536.0</v>
      </c>
      <c r="G638" s="15">
        <v>5319038.0</v>
      </c>
      <c r="H638" s="19">
        <f t="shared" si="1"/>
        <v>-0.0002603644843</v>
      </c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8">
        <v>45282.0</v>
      </c>
      <c r="B639" s="15">
        <v>1534.949951</v>
      </c>
      <c r="C639" s="15">
        <v>1566.0</v>
      </c>
      <c r="D639" s="15">
        <v>1523.0</v>
      </c>
      <c r="E639" s="15">
        <v>1562.900024</v>
      </c>
      <c r="F639" s="15">
        <v>1562.900024</v>
      </c>
      <c r="G639" s="15">
        <v>6741060.0</v>
      </c>
      <c r="H639" s="19">
        <f t="shared" si="1"/>
        <v>0.01751303646</v>
      </c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8">
        <v>45286.0</v>
      </c>
      <c r="B640" s="15">
        <v>1535.0</v>
      </c>
      <c r="C640" s="15">
        <v>1548.0</v>
      </c>
      <c r="D640" s="15">
        <v>1523.0</v>
      </c>
      <c r="E640" s="15">
        <v>1543.949951</v>
      </c>
      <c r="F640" s="15">
        <v>1543.949951</v>
      </c>
      <c r="G640" s="15">
        <v>6878067.0</v>
      </c>
      <c r="H640" s="19">
        <f t="shared" si="1"/>
        <v>-0.01212494255</v>
      </c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8">
        <v>45287.0</v>
      </c>
      <c r="B641" s="15">
        <v>1544.0</v>
      </c>
      <c r="C641" s="15">
        <v>1570.0</v>
      </c>
      <c r="D641" s="15">
        <v>1544.0</v>
      </c>
      <c r="E641" s="15">
        <v>1567.099976</v>
      </c>
      <c r="F641" s="15">
        <v>1567.099976</v>
      </c>
      <c r="G641" s="15">
        <v>4225849.0</v>
      </c>
      <c r="H641" s="19">
        <f t="shared" si="1"/>
        <v>0.01499402554</v>
      </c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8">
        <v>45288.0</v>
      </c>
      <c r="B642" s="15">
        <v>1568.949951</v>
      </c>
      <c r="C642" s="15">
        <v>1568.949951</v>
      </c>
      <c r="D642" s="15">
        <v>1555.0</v>
      </c>
      <c r="E642" s="15">
        <v>1562.650024</v>
      </c>
      <c r="F642" s="15">
        <v>1562.650024</v>
      </c>
      <c r="G642" s="15">
        <v>5702253.0</v>
      </c>
      <c r="H642" s="19">
        <f t="shared" si="1"/>
        <v>-0.002839609513</v>
      </c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8">
        <v>45289.0</v>
      </c>
      <c r="B643" s="15">
        <v>1541.050049</v>
      </c>
      <c r="C643" s="15">
        <v>1559.449951</v>
      </c>
      <c r="D643" s="15">
        <v>1540.0</v>
      </c>
      <c r="E643" s="15">
        <v>1542.900024</v>
      </c>
      <c r="F643" s="15">
        <v>1542.900024</v>
      </c>
      <c r="G643" s="15">
        <v>4388990.0</v>
      </c>
      <c r="H643" s="19">
        <f t="shared" si="1"/>
        <v>-0.01263878648</v>
      </c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8">
        <v>45292.0</v>
      </c>
      <c r="B644" s="15">
        <v>1539.0</v>
      </c>
      <c r="C644" s="15">
        <v>1557.0</v>
      </c>
      <c r="D644" s="15">
        <v>1535.25</v>
      </c>
      <c r="E644" s="15">
        <v>1551.349976</v>
      </c>
      <c r="F644" s="15">
        <v>1551.349976</v>
      </c>
      <c r="G644" s="15">
        <v>2808451.0</v>
      </c>
      <c r="H644" s="19">
        <f t="shared" si="1"/>
        <v>0.005476668526</v>
      </c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8">
        <v>45293.0</v>
      </c>
      <c r="B645" s="15">
        <v>1546.0</v>
      </c>
      <c r="C645" s="15">
        <v>1549.150024</v>
      </c>
      <c r="D645" s="15">
        <v>1523.0</v>
      </c>
      <c r="E645" s="15">
        <v>1534.400024</v>
      </c>
      <c r="F645" s="15">
        <v>1534.400024</v>
      </c>
      <c r="G645" s="15">
        <v>5396313.0</v>
      </c>
      <c r="H645" s="19">
        <f t="shared" si="1"/>
        <v>-0.01092593693</v>
      </c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8">
        <v>45294.0</v>
      </c>
      <c r="B646" s="15">
        <v>1519.949951</v>
      </c>
      <c r="C646" s="15">
        <v>1519.949951</v>
      </c>
      <c r="D646" s="15">
        <v>1488.0</v>
      </c>
      <c r="E646" s="15">
        <v>1490.0</v>
      </c>
      <c r="F646" s="15">
        <v>1490.0</v>
      </c>
      <c r="G646" s="15">
        <v>7550363.0</v>
      </c>
      <c r="H646" s="19">
        <f t="shared" si="1"/>
        <v>-0.02893640726</v>
      </c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8">
        <v>45295.0</v>
      </c>
      <c r="B647" s="15">
        <v>1504.949951</v>
      </c>
      <c r="C647" s="15">
        <v>1519.75</v>
      </c>
      <c r="D647" s="15">
        <v>1492.900024</v>
      </c>
      <c r="E647" s="15">
        <v>1512.699951</v>
      </c>
      <c r="F647" s="15">
        <v>1512.699951</v>
      </c>
      <c r="G647" s="15">
        <v>7056038.0</v>
      </c>
      <c r="H647" s="19">
        <f t="shared" si="1"/>
        <v>0.01523486644</v>
      </c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8">
        <v>45296.0</v>
      </c>
      <c r="B648" s="15">
        <v>1506.75</v>
      </c>
      <c r="C648" s="15">
        <v>1539.699951</v>
      </c>
      <c r="D648" s="15">
        <v>1506.25</v>
      </c>
      <c r="E648" s="15">
        <v>1532.550049</v>
      </c>
      <c r="F648" s="15">
        <v>1532.550049</v>
      </c>
      <c r="G648" s="15">
        <v>8895403.0</v>
      </c>
      <c r="H648" s="19">
        <f t="shared" si="1"/>
        <v>0.01312229698</v>
      </c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8">
        <v>45299.0</v>
      </c>
      <c r="B649" s="15">
        <v>1528.949951</v>
      </c>
      <c r="C649" s="15">
        <v>1536.0</v>
      </c>
      <c r="D649" s="15">
        <v>1513.25</v>
      </c>
      <c r="E649" s="15">
        <v>1522.800049</v>
      </c>
      <c r="F649" s="15">
        <v>1522.800049</v>
      </c>
      <c r="G649" s="15">
        <v>4440136.0</v>
      </c>
      <c r="H649" s="19">
        <f t="shared" si="1"/>
        <v>-0.006361945573</v>
      </c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8">
        <v>45300.0</v>
      </c>
      <c r="B650" s="15">
        <v>1541.900024</v>
      </c>
      <c r="C650" s="15">
        <v>1553.0</v>
      </c>
      <c r="D650" s="15">
        <v>1525.849976</v>
      </c>
      <c r="E650" s="15">
        <v>1529.300049</v>
      </c>
      <c r="F650" s="15">
        <v>1529.300049</v>
      </c>
      <c r="G650" s="15">
        <v>4412074.0</v>
      </c>
      <c r="H650" s="19">
        <f t="shared" si="1"/>
        <v>0.004268452713</v>
      </c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8">
        <v>45301.0</v>
      </c>
      <c r="B651" s="15">
        <v>1524.949951</v>
      </c>
      <c r="C651" s="15">
        <v>1535.449951</v>
      </c>
      <c r="D651" s="15">
        <v>1505.0</v>
      </c>
      <c r="E651" s="15">
        <v>1519.900024</v>
      </c>
      <c r="F651" s="15">
        <v>1519.900024</v>
      </c>
      <c r="G651" s="15">
        <v>4096845.0</v>
      </c>
      <c r="H651" s="19">
        <f t="shared" si="1"/>
        <v>-0.006146619171</v>
      </c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8">
        <v>45302.0</v>
      </c>
      <c r="B652" s="15">
        <v>1524.900024</v>
      </c>
      <c r="C652" s="15">
        <v>1525.0</v>
      </c>
      <c r="D652" s="15">
        <v>1486.599976</v>
      </c>
      <c r="E652" s="15">
        <v>1494.199951</v>
      </c>
      <c r="F652" s="15">
        <v>1494.199951</v>
      </c>
      <c r="G652" s="15">
        <v>1.1296088E7</v>
      </c>
      <c r="H652" s="19">
        <f t="shared" si="1"/>
        <v>-0.01690905493</v>
      </c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8">
        <v>45303.0</v>
      </c>
      <c r="B653" s="15">
        <v>1562.0</v>
      </c>
      <c r="C653" s="15">
        <v>1618.0</v>
      </c>
      <c r="D653" s="15">
        <v>1555.400024</v>
      </c>
      <c r="E653" s="15">
        <v>1612.75</v>
      </c>
      <c r="F653" s="15">
        <v>1612.75</v>
      </c>
      <c r="G653" s="15">
        <v>2.6754401E7</v>
      </c>
      <c r="H653" s="19">
        <f t="shared" si="1"/>
        <v>0.07934015051</v>
      </c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8">
        <v>45306.0</v>
      </c>
      <c r="B654" s="15">
        <v>1644.949951</v>
      </c>
      <c r="C654" s="15">
        <v>1664.949951</v>
      </c>
      <c r="D654" s="15">
        <v>1636.0</v>
      </c>
      <c r="E654" s="15">
        <v>1652.099976</v>
      </c>
      <c r="F654" s="15">
        <v>1652.099976</v>
      </c>
      <c r="G654" s="15">
        <v>1.3228305E7</v>
      </c>
      <c r="H654" s="19">
        <f t="shared" si="1"/>
        <v>0.02439930305</v>
      </c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8">
        <v>45307.0</v>
      </c>
      <c r="B655" s="15">
        <v>1644.800049</v>
      </c>
      <c r="C655" s="15">
        <v>1648.5</v>
      </c>
      <c r="D655" s="15">
        <v>1625.0</v>
      </c>
      <c r="E655" s="15">
        <v>1631.550049</v>
      </c>
      <c r="F655" s="15">
        <v>1631.550049</v>
      </c>
      <c r="G655" s="15">
        <v>6500917.0</v>
      </c>
      <c r="H655" s="19">
        <f t="shared" si="1"/>
        <v>-0.01243867036</v>
      </c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8">
        <v>45308.0</v>
      </c>
      <c r="B656" s="15">
        <v>1620.25</v>
      </c>
      <c r="C656" s="15">
        <v>1647.5</v>
      </c>
      <c r="D656" s="15">
        <v>1620.25</v>
      </c>
      <c r="E656" s="15">
        <v>1640.199951</v>
      </c>
      <c r="F656" s="15">
        <v>1640.199951</v>
      </c>
      <c r="G656" s="15">
        <v>9209876.0</v>
      </c>
      <c r="H656" s="19">
        <f t="shared" si="1"/>
        <v>0.005301646741</v>
      </c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8">
        <v>45309.0</v>
      </c>
      <c r="B657" s="15">
        <v>1642.650024</v>
      </c>
      <c r="C657" s="15">
        <v>1649.0</v>
      </c>
      <c r="D657" s="15">
        <v>1628.25</v>
      </c>
      <c r="E657" s="15">
        <v>1642.599976</v>
      </c>
      <c r="F657" s="15">
        <v>1642.599976</v>
      </c>
      <c r="G657" s="15">
        <v>6375464.0</v>
      </c>
      <c r="H657" s="19">
        <f t="shared" si="1"/>
        <v>0.001463251476</v>
      </c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8">
        <v>45310.0</v>
      </c>
      <c r="B658" s="15">
        <v>1651.599976</v>
      </c>
      <c r="C658" s="15">
        <v>1665.5</v>
      </c>
      <c r="D658" s="15">
        <v>1644.150024</v>
      </c>
      <c r="E658" s="15">
        <v>1659.199951</v>
      </c>
      <c r="F658" s="15">
        <v>1659.199951</v>
      </c>
      <c r="G658" s="15">
        <v>4522736.0</v>
      </c>
      <c r="H658" s="19">
        <f t="shared" si="1"/>
        <v>0.01010591455</v>
      </c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8">
        <v>45314.0</v>
      </c>
      <c r="B659" s="15">
        <v>1650.099976</v>
      </c>
      <c r="C659" s="15">
        <v>1674.699951</v>
      </c>
      <c r="D659" s="15">
        <v>1637.699951</v>
      </c>
      <c r="E659" s="15">
        <v>1642.150024</v>
      </c>
      <c r="F659" s="15">
        <v>1642.150024</v>
      </c>
      <c r="G659" s="15">
        <v>9401255.0</v>
      </c>
      <c r="H659" s="19">
        <f t="shared" si="1"/>
        <v>-0.01027599295</v>
      </c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8">
        <v>45315.0</v>
      </c>
      <c r="B660" s="15">
        <v>1659.900024</v>
      </c>
      <c r="C660" s="15">
        <v>1680.0</v>
      </c>
      <c r="D660" s="15">
        <v>1645.0</v>
      </c>
      <c r="E660" s="15">
        <v>1675.400024</v>
      </c>
      <c r="F660" s="15">
        <v>1675.400024</v>
      </c>
      <c r="G660" s="15">
        <v>8999681.0</v>
      </c>
      <c r="H660" s="19">
        <f t="shared" si="1"/>
        <v>0.02024784552</v>
      </c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8">
        <v>45316.0</v>
      </c>
      <c r="B661" s="15">
        <v>1672.949951</v>
      </c>
      <c r="C661" s="15">
        <v>1680.550049</v>
      </c>
      <c r="D661" s="15">
        <v>1658.0</v>
      </c>
      <c r="E661" s="15">
        <v>1669.099976</v>
      </c>
      <c r="F661" s="15">
        <v>1669.099976</v>
      </c>
      <c r="G661" s="15">
        <v>8865304.0</v>
      </c>
      <c r="H661" s="19">
        <f t="shared" si="1"/>
        <v>-0.003760324645</v>
      </c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8">
        <v>45320.0</v>
      </c>
      <c r="B662" s="15">
        <v>1665.150024</v>
      </c>
      <c r="C662" s="15">
        <v>1679.349976</v>
      </c>
      <c r="D662" s="15">
        <v>1647.599976</v>
      </c>
      <c r="E662" s="15">
        <v>1656.599976</v>
      </c>
      <c r="F662" s="15">
        <v>1656.599976</v>
      </c>
      <c r="G662" s="15">
        <v>4253785.0</v>
      </c>
      <c r="H662" s="19">
        <f t="shared" si="1"/>
        <v>-0.007489066071</v>
      </c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8">
        <v>45321.0</v>
      </c>
      <c r="B663" s="15">
        <v>1662.449951</v>
      </c>
      <c r="C663" s="15">
        <v>1690.0</v>
      </c>
      <c r="D663" s="15">
        <v>1648.25</v>
      </c>
      <c r="E663" s="15">
        <v>1651.449951</v>
      </c>
      <c r="F663" s="15">
        <v>1651.449951</v>
      </c>
      <c r="G663" s="15">
        <v>4995943.0</v>
      </c>
      <c r="H663" s="19">
        <f t="shared" si="1"/>
        <v>-0.003108792149</v>
      </c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8">
        <v>45322.0</v>
      </c>
      <c r="B664" s="15">
        <v>1648.25</v>
      </c>
      <c r="C664" s="15">
        <v>1667.25</v>
      </c>
      <c r="D664" s="15">
        <v>1638.099976</v>
      </c>
      <c r="E664" s="15">
        <v>1660.900024</v>
      </c>
      <c r="F664" s="15">
        <v>1660.900024</v>
      </c>
      <c r="G664" s="15">
        <v>6763779.0</v>
      </c>
      <c r="H664" s="19">
        <f t="shared" si="1"/>
        <v>0.005722288462</v>
      </c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8">
        <v>45323.0</v>
      </c>
      <c r="B665" s="15">
        <v>1659.550049</v>
      </c>
      <c r="C665" s="15">
        <v>1677.0</v>
      </c>
      <c r="D665" s="15">
        <v>1650.349976</v>
      </c>
      <c r="E665" s="15">
        <v>1657.050049</v>
      </c>
      <c r="F665" s="15">
        <v>1657.050049</v>
      </c>
      <c r="G665" s="15">
        <v>5760011.0</v>
      </c>
      <c r="H665" s="19">
        <f t="shared" si="1"/>
        <v>-0.002318005265</v>
      </c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8">
        <v>45324.0</v>
      </c>
      <c r="B666" s="15">
        <v>1666.050049</v>
      </c>
      <c r="C666" s="15">
        <v>1718.5</v>
      </c>
      <c r="D666" s="15">
        <v>1665.0</v>
      </c>
      <c r="E666" s="15">
        <v>1693.349976</v>
      </c>
      <c r="F666" s="15">
        <v>1693.349976</v>
      </c>
      <c r="G666" s="15">
        <v>7858483.0</v>
      </c>
      <c r="H666" s="19">
        <f t="shared" si="1"/>
        <v>0.02190635523</v>
      </c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8">
        <v>45327.0</v>
      </c>
      <c r="B667" s="15">
        <v>1694.75</v>
      </c>
      <c r="C667" s="15">
        <v>1700.75</v>
      </c>
      <c r="D667" s="15">
        <v>1681.849976</v>
      </c>
      <c r="E667" s="15">
        <v>1687.199951</v>
      </c>
      <c r="F667" s="15">
        <v>1687.199951</v>
      </c>
      <c r="G667" s="15">
        <v>3634135.0</v>
      </c>
      <c r="H667" s="19">
        <f t="shared" si="1"/>
        <v>-0.003631868832</v>
      </c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8">
        <v>45328.0</v>
      </c>
      <c r="B668" s="15">
        <v>1686.75</v>
      </c>
      <c r="C668" s="15">
        <v>1733.0</v>
      </c>
      <c r="D668" s="15">
        <v>1673.949951</v>
      </c>
      <c r="E668" s="15">
        <v>1729.449951</v>
      </c>
      <c r="F668" s="15">
        <v>1729.449951</v>
      </c>
      <c r="G668" s="15">
        <v>7694265.0</v>
      </c>
      <c r="H668" s="19">
        <f t="shared" si="1"/>
        <v>0.02504148958</v>
      </c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8">
        <v>45329.0</v>
      </c>
      <c r="B669" s="15">
        <v>1729.0</v>
      </c>
      <c r="C669" s="15">
        <v>1729.0</v>
      </c>
      <c r="D669" s="15">
        <v>1686.849976</v>
      </c>
      <c r="E669" s="15">
        <v>1693.75</v>
      </c>
      <c r="F669" s="15">
        <v>1693.75</v>
      </c>
      <c r="G669" s="15">
        <v>4613877.0</v>
      </c>
      <c r="H669" s="19">
        <f t="shared" si="1"/>
        <v>-0.02064237302</v>
      </c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8">
        <v>45330.0</v>
      </c>
      <c r="B670" s="15">
        <v>1698.0</v>
      </c>
      <c r="C670" s="15">
        <v>1706.349976</v>
      </c>
      <c r="D670" s="15">
        <v>1682.800049</v>
      </c>
      <c r="E670" s="15">
        <v>1692.099976</v>
      </c>
      <c r="F670" s="15">
        <v>1692.099976</v>
      </c>
      <c r="G670" s="15">
        <v>5919715.0</v>
      </c>
      <c r="H670" s="19">
        <f t="shared" si="1"/>
        <v>-0.0009741839114</v>
      </c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8">
        <v>45331.0</v>
      </c>
      <c r="B671" s="15">
        <v>1684.699951</v>
      </c>
      <c r="C671" s="15">
        <v>1692.900024</v>
      </c>
      <c r="D671" s="15">
        <v>1659.800049</v>
      </c>
      <c r="E671" s="15">
        <v>1669.349976</v>
      </c>
      <c r="F671" s="15">
        <v>1669.349976</v>
      </c>
      <c r="G671" s="15">
        <v>4600004.0</v>
      </c>
      <c r="H671" s="19">
        <f t="shared" si="1"/>
        <v>-0.01344483206</v>
      </c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8">
        <v>45334.0</v>
      </c>
      <c r="B672" s="15">
        <v>1670.349976</v>
      </c>
      <c r="C672" s="15">
        <v>1692.949951</v>
      </c>
      <c r="D672" s="15">
        <v>1670.349976</v>
      </c>
      <c r="E672" s="15">
        <v>1680.099976</v>
      </c>
      <c r="F672" s="15">
        <v>1680.099976</v>
      </c>
      <c r="G672" s="15">
        <v>3555808.0</v>
      </c>
      <c r="H672" s="19">
        <f t="shared" si="1"/>
        <v>0.006439632285</v>
      </c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8">
        <v>45335.0</v>
      </c>
      <c r="B673" s="15">
        <v>1683.0</v>
      </c>
      <c r="C673" s="15">
        <v>1689.099976</v>
      </c>
      <c r="D673" s="15">
        <v>1663.5</v>
      </c>
      <c r="E673" s="15">
        <v>1684.550049</v>
      </c>
      <c r="F673" s="15">
        <v>1684.550049</v>
      </c>
      <c r="G673" s="15">
        <v>2696481.0</v>
      </c>
      <c r="H673" s="19">
        <f t="shared" si="1"/>
        <v>0.002648695354</v>
      </c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8">
        <v>45336.0</v>
      </c>
      <c r="B674" s="15">
        <v>1660.199951</v>
      </c>
      <c r="C674" s="15">
        <v>1669.449951</v>
      </c>
      <c r="D674" s="15">
        <v>1635.5</v>
      </c>
      <c r="E674" s="15">
        <v>1666.199951</v>
      </c>
      <c r="F674" s="15">
        <v>1666.199951</v>
      </c>
      <c r="G674" s="15">
        <v>3768579.0</v>
      </c>
      <c r="H674" s="19">
        <f t="shared" si="1"/>
        <v>-0.01089317472</v>
      </c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8">
        <v>45337.0</v>
      </c>
      <c r="B675" s="15">
        <v>1677.0</v>
      </c>
      <c r="C675" s="15">
        <v>1687.75</v>
      </c>
      <c r="D675" s="15">
        <v>1661.599976</v>
      </c>
      <c r="E675" s="15">
        <v>1676.349976</v>
      </c>
      <c r="F675" s="15">
        <v>1676.349976</v>
      </c>
      <c r="G675" s="15">
        <v>4834391.0</v>
      </c>
      <c r="H675" s="19">
        <f t="shared" si="1"/>
        <v>0.006091720861</v>
      </c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8">
        <v>45338.0</v>
      </c>
      <c r="B676" s="15">
        <v>1689.0</v>
      </c>
      <c r="C676" s="15">
        <v>1709.0</v>
      </c>
      <c r="D676" s="15">
        <v>1687.949951</v>
      </c>
      <c r="E676" s="15">
        <v>1701.650024</v>
      </c>
      <c r="F676" s="15">
        <v>1701.650024</v>
      </c>
      <c r="G676" s="15">
        <v>4880654.0</v>
      </c>
      <c r="H676" s="19">
        <f t="shared" si="1"/>
        <v>0.01509234251</v>
      </c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8">
        <v>45341.0</v>
      </c>
      <c r="B677" s="15">
        <v>1705.0</v>
      </c>
      <c r="C677" s="15">
        <v>1711.5</v>
      </c>
      <c r="D677" s="15">
        <v>1687.699951</v>
      </c>
      <c r="E677" s="15">
        <v>1699.75</v>
      </c>
      <c r="F677" s="15">
        <v>1699.75</v>
      </c>
      <c r="G677" s="15">
        <v>3690993.0</v>
      </c>
      <c r="H677" s="19">
        <f t="shared" si="1"/>
        <v>-0.001116577424</v>
      </c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8">
        <v>45342.0</v>
      </c>
      <c r="B678" s="15">
        <v>1685.0</v>
      </c>
      <c r="C678" s="15">
        <v>1694.25</v>
      </c>
      <c r="D678" s="15">
        <v>1668.75</v>
      </c>
      <c r="E678" s="15">
        <v>1685.25</v>
      </c>
      <c r="F678" s="15">
        <v>1685.25</v>
      </c>
      <c r="G678" s="15">
        <v>3706389.0</v>
      </c>
      <c r="H678" s="19">
        <f t="shared" si="1"/>
        <v>-0.008530666274</v>
      </c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8">
        <v>45343.0</v>
      </c>
      <c r="B679" s="15">
        <v>1674.0</v>
      </c>
      <c r="C679" s="15">
        <v>1674.0</v>
      </c>
      <c r="D679" s="15">
        <v>1645.300049</v>
      </c>
      <c r="E679" s="15">
        <v>1655.550049</v>
      </c>
      <c r="F679" s="15">
        <v>1655.550049</v>
      </c>
      <c r="G679" s="15">
        <v>4300508.0</v>
      </c>
      <c r="H679" s="19">
        <f t="shared" si="1"/>
        <v>-0.01762346892</v>
      </c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8">
        <v>45344.0</v>
      </c>
      <c r="B680" s="15">
        <v>1665.0</v>
      </c>
      <c r="C680" s="15">
        <v>1684.599976</v>
      </c>
      <c r="D680" s="15">
        <v>1644.400024</v>
      </c>
      <c r="E680" s="15">
        <v>1681.349976</v>
      </c>
      <c r="F680" s="15">
        <v>1681.349976</v>
      </c>
      <c r="G680" s="15">
        <v>5841277.0</v>
      </c>
      <c r="H680" s="19">
        <f t="shared" si="1"/>
        <v>0.01558390036</v>
      </c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8">
        <v>45345.0</v>
      </c>
      <c r="B681" s="15">
        <v>1697.0</v>
      </c>
      <c r="C681" s="15">
        <v>1698.449951</v>
      </c>
      <c r="D681" s="15">
        <v>1671.900024</v>
      </c>
      <c r="E681" s="15">
        <v>1676.849976</v>
      </c>
      <c r="F681" s="15">
        <v>1676.849976</v>
      </c>
      <c r="G681" s="15">
        <v>5373072.0</v>
      </c>
      <c r="H681" s="19">
        <f t="shared" si="1"/>
        <v>-0.002676420772</v>
      </c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8">
        <v>45348.0</v>
      </c>
      <c r="B682" s="15">
        <v>1674.949951</v>
      </c>
      <c r="C682" s="15">
        <v>1674.949951</v>
      </c>
      <c r="D682" s="15">
        <v>1645.0</v>
      </c>
      <c r="E682" s="15">
        <v>1660.150024</v>
      </c>
      <c r="F682" s="15">
        <v>1660.150024</v>
      </c>
      <c r="G682" s="15">
        <v>2782438.0</v>
      </c>
      <c r="H682" s="19">
        <f t="shared" si="1"/>
        <v>-0.009959121113</v>
      </c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8">
        <v>45349.0</v>
      </c>
      <c r="B683" s="15">
        <v>1661.0</v>
      </c>
      <c r="C683" s="15">
        <v>1671.099976</v>
      </c>
      <c r="D683" s="15">
        <v>1652.800049</v>
      </c>
      <c r="E683" s="15">
        <v>1663.599976</v>
      </c>
      <c r="F683" s="15">
        <v>1663.599976</v>
      </c>
      <c r="G683" s="15">
        <v>5159088.0</v>
      </c>
      <c r="H683" s="19">
        <f t="shared" si="1"/>
        <v>0.002078096527</v>
      </c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8">
        <v>45350.0</v>
      </c>
      <c r="B684" s="15">
        <v>1670.0</v>
      </c>
      <c r="C684" s="15">
        <v>1687.800049</v>
      </c>
      <c r="D684" s="15">
        <v>1662.050049</v>
      </c>
      <c r="E684" s="15">
        <v>1671.25</v>
      </c>
      <c r="F684" s="15">
        <v>1671.25</v>
      </c>
      <c r="G684" s="15">
        <v>3188916.0</v>
      </c>
      <c r="H684" s="19">
        <f t="shared" si="1"/>
        <v>0.004598475661</v>
      </c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8">
        <v>45351.0</v>
      </c>
      <c r="B685" s="15">
        <v>1665.0</v>
      </c>
      <c r="C685" s="15">
        <v>1682.25</v>
      </c>
      <c r="D685" s="15">
        <v>1653.300049</v>
      </c>
      <c r="E685" s="15">
        <v>1673.900024</v>
      </c>
      <c r="F685" s="15">
        <v>1673.900024</v>
      </c>
      <c r="G685" s="15">
        <v>7814722.0</v>
      </c>
      <c r="H685" s="19">
        <f t="shared" si="1"/>
        <v>0.001585653852</v>
      </c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8">
        <v>45352.0</v>
      </c>
      <c r="B686" s="15">
        <v>1669.0</v>
      </c>
      <c r="C686" s="15">
        <v>1671.949951</v>
      </c>
      <c r="D686" s="15">
        <v>1651.0</v>
      </c>
      <c r="E686" s="15">
        <v>1654.699951</v>
      </c>
      <c r="F686" s="15">
        <v>1654.699951</v>
      </c>
      <c r="G686" s="15">
        <v>6387291.0</v>
      </c>
      <c r="H686" s="19">
        <f t="shared" si="1"/>
        <v>-0.01147026269</v>
      </c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8">
        <v>45355.0</v>
      </c>
      <c r="B687" s="15">
        <v>1657.849976</v>
      </c>
      <c r="C687" s="15">
        <v>1664.449951</v>
      </c>
      <c r="D687" s="15">
        <v>1633.650024</v>
      </c>
      <c r="E687" s="15">
        <v>1637.199951</v>
      </c>
      <c r="F687" s="15">
        <v>1637.199951</v>
      </c>
      <c r="G687" s="15">
        <v>4445156.0</v>
      </c>
      <c r="H687" s="19">
        <f t="shared" si="1"/>
        <v>-0.01057593553</v>
      </c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8">
        <v>45356.0</v>
      </c>
      <c r="B688" s="15">
        <v>1634.0</v>
      </c>
      <c r="C688" s="15">
        <v>1637.349976</v>
      </c>
      <c r="D688" s="15">
        <v>1602.0</v>
      </c>
      <c r="E688" s="15">
        <v>1606.5</v>
      </c>
      <c r="F688" s="15">
        <v>1606.5</v>
      </c>
      <c r="G688" s="15">
        <v>4596579.0</v>
      </c>
      <c r="H688" s="19">
        <f t="shared" si="1"/>
        <v>-0.01875149763</v>
      </c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8">
        <v>45357.0</v>
      </c>
      <c r="B689" s="15">
        <v>1602.800049</v>
      </c>
      <c r="C689" s="15">
        <v>1620.150024</v>
      </c>
      <c r="D689" s="15">
        <v>1576.0</v>
      </c>
      <c r="E689" s="15">
        <v>1617.550049</v>
      </c>
      <c r="F689" s="15">
        <v>1617.550049</v>
      </c>
      <c r="G689" s="15">
        <v>6420684.0</v>
      </c>
      <c r="H689" s="19">
        <f t="shared" si="1"/>
        <v>0.006878337379</v>
      </c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8">
        <v>45358.0</v>
      </c>
      <c r="B690" s="15">
        <v>1616.599976</v>
      </c>
      <c r="C690" s="15">
        <v>1628.449951</v>
      </c>
      <c r="D690" s="15">
        <v>1604.199951</v>
      </c>
      <c r="E690" s="15">
        <v>1616.449951</v>
      </c>
      <c r="F690" s="15">
        <v>1616.449951</v>
      </c>
      <c r="G690" s="15">
        <v>6348359.0</v>
      </c>
      <c r="H690" s="19">
        <f t="shared" si="1"/>
        <v>-0.0006801013673</v>
      </c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8">
        <v>45362.0</v>
      </c>
      <c r="B691" s="15">
        <v>1608.150024</v>
      </c>
      <c r="C691" s="15">
        <v>1613.800049</v>
      </c>
      <c r="D691" s="15">
        <v>1588.0</v>
      </c>
      <c r="E691" s="15">
        <v>1600.599976</v>
      </c>
      <c r="F691" s="15">
        <v>1600.599976</v>
      </c>
      <c r="G691" s="15">
        <v>6752895.0</v>
      </c>
      <c r="H691" s="19">
        <f t="shared" si="1"/>
        <v>-0.009805422673</v>
      </c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8">
        <v>45363.0</v>
      </c>
      <c r="B692" s="15">
        <v>1600.0</v>
      </c>
      <c r="C692" s="15">
        <v>1625.0</v>
      </c>
      <c r="D692" s="15">
        <v>1597.650024</v>
      </c>
      <c r="E692" s="15">
        <v>1612.949951</v>
      </c>
      <c r="F692" s="15">
        <v>1612.949951</v>
      </c>
      <c r="G692" s="15">
        <v>4614222.0</v>
      </c>
      <c r="H692" s="19">
        <f t="shared" si="1"/>
        <v>0.00771584105</v>
      </c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8">
        <v>45364.0</v>
      </c>
      <c r="B693" s="15">
        <v>1612.900024</v>
      </c>
      <c r="C693" s="15">
        <v>1624.5</v>
      </c>
      <c r="D693" s="15">
        <v>1598.550049</v>
      </c>
      <c r="E693" s="15">
        <v>1611.400024</v>
      </c>
      <c r="F693" s="15">
        <v>1611.400024</v>
      </c>
      <c r="G693" s="15">
        <v>5688997.0</v>
      </c>
      <c r="H693" s="19">
        <f t="shared" si="1"/>
        <v>-0.0009609269023</v>
      </c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8">
        <v>45365.0</v>
      </c>
      <c r="B694" s="15">
        <v>1614.400024</v>
      </c>
      <c r="C694" s="15">
        <v>1657.75</v>
      </c>
      <c r="D694" s="15">
        <v>1608.0</v>
      </c>
      <c r="E694" s="15">
        <v>1653.300049</v>
      </c>
      <c r="F694" s="15">
        <v>1653.300049</v>
      </c>
      <c r="G694" s="15">
        <v>8803799.0</v>
      </c>
      <c r="H694" s="19">
        <f t="shared" si="1"/>
        <v>0.02600224921</v>
      </c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8">
        <v>45366.0</v>
      </c>
      <c r="B695" s="15">
        <v>1641.099976</v>
      </c>
      <c r="C695" s="15">
        <v>1645.800049</v>
      </c>
      <c r="D695" s="15">
        <v>1618.349976</v>
      </c>
      <c r="E695" s="15">
        <v>1634.0</v>
      </c>
      <c r="F695" s="15">
        <v>1634.0</v>
      </c>
      <c r="G695" s="15">
        <v>1.1809997E7</v>
      </c>
      <c r="H695" s="19">
        <f t="shared" si="1"/>
        <v>-0.01167365174</v>
      </c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8">
        <v>45369.0</v>
      </c>
      <c r="B696" s="15">
        <v>1630.0</v>
      </c>
      <c r="C696" s="15">
        <v>1632.650024</v>
      </c>
      <c r="D696" s="15">
        <v>1598.849976</v>
      </c>
      <c r="E696" s="15">
        <v>1602.650024</v>
      </c>
      <c r="F696" s="15">
        <v>1602.650024</v>
      </c>
      <c r="G696" s="15">
        <v>4958904.0</v>
      </c>
      <c r="H696" s="19">
        <f t="shared" si="1"/>
        <v>-0.01918603182</v>
      </c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8">
        <v>45370.0</v>
      </c>
      <c r="B697" s="15">
        <v>1592.349976</v>
      </c>
      <c r="C697" s="15">
        <v>1599.0</v>
      </c>
      <c r="D697" s="15">
        <v>1558.0</v>
      </c>
      <c r="E697" s="15">
        <v>1561.449951</v>
      </c>
      <c r="F697" s="15">
        <v>1561.449951</v>
      </c>
      <c r="G697" s="15">
        <v>6870411.0</v>
      </c>
      <c r="H697" s="19">
        <f t="shared" si="1"/>
        <v>-0.02570746725</v>
      </c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8">
        <v>45371.0</v>
      </c>
      <c r="B698" s="15">
        <v>1563.0</v>
      </c>
      <c r="C698" s="15">
        <v>1574.949951</v>
      </c>
      <c r="D698" s="15">
        <v>1552.349976</v>
      </c>
      <c r="E698" s="15">
        <v>1554.949951</v>
      </c>
      <c r="F698" s="15">
        <v>1554.949951</v>
      </c>
      <c r="G698" s="15">
        <v>4759059.0</v>
      </c>
      <c r="H698" s="19">
        <f t="shared" si="1"/>
        <v>-0.00416279753</v>
      </c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8">
        <v>45372.0</v>
      </c>
      <c r="B699" s="15">
        <v>1564.0</v>
      </c>
      <c r="C699" s="15">
        <v>1576.949951</v>
      </c>
      <c r="D699" s="15">
        <v>1543.400024</v>
      </c>
      <c r="E699" s="15">
        <v>1554.699951</v>
      </c>
      <c r="F699" s="15">
        <v>1554.699951</v>
      </c>
      <c r="G699" s="15">
        <v>1.1062497E7</v>
      </c>
      <c r="H699" s="19">
        <f t="shared" si="1"/>
        <v>-0.0001607768789</v>
      </c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8">
        <v>45373.0</v>
      </c>
      <c r="B700" s="15">
        <v>1521.0</v>
      </c>
      <c r="C700" s="15">
        <v>1528.900024</v>
      </c>
      <c r="D700" s="15">
        <v>1498.199951</v>
      </c>
      <c r="E700" s="15">
        <v>1508.849976</v>
      </c>
      <c r="F700" s="15">
        <v>1508.849976</v>
      </c>
      <c r="G700" s="15">
        <v>1.467389E7</v>
      </c>
      <c r="H700" s="19">
        <f t="shared" si="1"/>
        <v>-0.02949120502</v>
      </c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8">
        <v>45377.0</v>
      </c>
      <c r="B701" s="15">
        <v>1492.0</v>
      </c>
      <c r="C701" s="15">
        <v>1507.449951</v>
      </c>
      <c r="D701" s="15">
        <v>1487.900024</v>
      </c>
      <c r="E701" s="15">
        <v>1492.650024</v>
      </c>
      <c r="F701" s="15">
        <v>1492.650024</v>
      </c>
      <c r="G701" s="15">
        <v>8351081.0</v>
      </c>
      <c r="H701" s="19">
        <f t="shared" si="1"/>
        <v>-0.0107366221</v>
      </c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8">
        <v>45378.0</v>
      </c>
      <c r="B702" s="15">
        <v>1496.0</v>
      </c>
      <c r="C702" s="15">
        <v>1499.0</v>
      </c>
      <c r="D702" s="15">
        <v>1481.550049</v>
      </c>
      <c r="E702" s="15">
        <v>1483.849976</v>
      </c>
      <c r="F702" s="15">
        <v>1483.849976</v>
      </c>
      <c r="G702" s="15">
        <v>6857402.0</v>
      </c>
      <c r="H702" s="19">
        <f t="shared" si="1"/>
        <v>-0.005895586948</v>
      </c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8">
        <v>45379.0</v>
      </c>
      <c r="B703" s="15">
        <v>1487.150024</v>
      </c>
      <c r="C703" s="15">
        <v>1511.800049</v>
      </c>
      <c r="D703" s="15">
        <v>1487.150024</v>
      </c>
      <c r="E703" s="15">
        <v>1498.050049</v>
      </c>
      <c r="F703" s="15">
        <v>1498.050049</v>
      </c>
      <c r="G703" s="15">
        <v>1.249953E7</v>
      </c>
      <c r="H703" s="19">
        <f t="shared" si="1"/>
        <v>0.009569749793</v>
      </c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8">
        <v>45383.0</v>
      </c>
      <c r="B704" s="15">
        <v>1525.0</v>
      </c>
      <c r="C704" s="15">
        <v>1529.949951</v>
      </c>
      <c r="D704" s="15">
        <v>1492.800049</v>
      </c>
      <c r="E704" s="15">
        <v>1495.449951</v>
      </c>
      <c r="F704" s="15">
        <v>1495.449951</v>
      </c>
      <c r="G704" s="15">
        <v>6580002.0</v>
      </c>
      <c r="H704" s="19">
        <f t="shared" si="1"/>
        <v>-0.001735654961</v>
      </c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8">
        <v>45384.0</v>
      </c>
      <c r="B705" s="15">
        <v>1484.849976</v>
      </c>
      <c r="C705" s="15">
        <v>1493.150024</v>
      </c>
      <c r="D705" s="15">
        <v>1480.849976</v>
      </c>
      <c r="E705" s="15">
        <v>1482.849976</v>
      </c>
      <c r="F705" s="15">
        <v>1482.849976</v>
      </c>
      <c r="G705" s="15">
        <v>7279400.0</v>
      </c>
      <c r="H705" s="19">
        <f t="shared" si="1"/>
        <v>-0.008425541083</v>
      </c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8">
        <v>45385.0</v>
      </c>
      <c r="B706" s="15">
        <v>1479.0</v>
      </c>
      <c r="C706" s="15">
        <v>1495.099976</v>
      </c>
      <c r="D706" s="15">
        <v>1475.0</v>
      </c>
      <c r="E706" s="15">
        <v>1480.650024</v>
      </c>
      <c r="F706" s="15">
        <v>1480.650024</v>
      </c>
      <c r="G706" s="15">
        <v>8736248.0</v>
      </c>
      <c r="H706" s="19">
        <f t="shared" si="1"/>
        <v>-0.001483597151</v>
      </c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8">
        <v>45386.0</v>
      </c>
      <c r="B707" s="15">
        <v>1490.550049</v>
      </c>
      <c r="C707" s="15">
        <v>1495.650024</v>
      </c>
      <c r="D707" s="15">
        <v>1468.0</v>
      </c>
      <c r="E707" s="15">
        <v>1486.699951</v>
      </c>
      <c r="F707" s="15">
        <v>1486.699951</v>
      </c>
      <c r="G707" s="15">
        <v>1.1186915E7</v>
      </c>
      <c r="H707" s="19">
        <f t="shared" si="1"/>
        <v>0.004085993923</v>
      </c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8">
        <v>45387.0</v>
      </c>
      <c r="B708" s="15">
        <v>1480.050049</v>
      </c>
      <c r="C708" s="15">
        <v>1486.699951</v>
      </c>
      <c r="D708" s="15">
        <v>1476.050049</v>
      </c>
      <c r="E708" s="15">
        <v>1479.099976</v>
      </c>
      <c r="F708" s="15">
        <v>1479.099976</v>
      </c>
      <c r="G708" s="15">
        <v>5072482.0</v>
      </c>
      <c r="H708" s="19">
        <f t="shared" si="1"/>
        <v>-0.005111976357</v>
      </c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8">
        <v>45390.0</v>
      </c>
      <c r="B709" s="15">
        <v>1483.0</v>
      </c>
      <c r="C709" s="15">
        <v>1490.949951</v>
      </c>
      <c r="D709" s="15">
        <v>1474.099976</v>
      </c>
      <c r="E709" s="15">
        <v>1476.699951</v>
      </c>
      <c r="F709" s="15">
        <v>1476.699951</v>
      </c>
      <c r="G709" s="15">
        <v>6610887.0</v>
      </c>
      <c r="H709" s="19">
        <f t="shared" si="1"/>
        <v>-0.001622625271</v>
      </c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8">
        <v>45391.0</v>
      </c>
      <c r="B710" s="15">
        <v>1490.0</v>
      </c>
      <c r="C710" s="15">
        <v>1513.800049</v>
      </c>
      <c r="D710" s="15">
        <v>1487.300049</v>
      </c>
      <c r="E710" s="15">
        <v>1494.849976</v>
      </c>
      <c r="F710" s="15">
        <v>1494.849976</v>
      </c>
      <c r="G710" s="15">
        <v>9423230.0</v>
      </c>
      <c r="H710" s="19">
        <f t="shared" si="1"/>
        <v>0.01229093628</v>
      </c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8">
        <v>45392.0</v>
      </c>
      <c r="B711" s="15">
        <v>1500.349976</v>
      </c>
      <c r="C711" s="15">
        <v>1509.849976</v>
      </c>
      <c r="D711" s="15">
        <v>1484.550049</v>
      </c>
      <c r="E711" s="15">
        <v>1506.800049</v>
      </c>
      <c r="F711" s="15">
        <v>1506.800049</v>
      </c>
      <c r="G711" s="15">
        <v>6744595.0</v>
      </c>
      <c r="H711" s="19">
        <f t="shared" si="1"/>
        <v>0.007994162084</v>
      </c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8">
        <v>45394.0</v>
      </c>
      <c r="B712" s="15">
        <v>1504.0</v>
      </c>
      <c r="C712" s="15">
        <v>1506.800049</v>
      </c>
      <c r="D712" s="15">
        <v>1479.5</v>
      </c>
      <c r="E712" s="15">
        <v>1484.75</v>
      </c>
      <c r="F712" s="15">
        <v>1484.75</v>
      </c>
      <c r="G712" s="15">
        <v>1.2275616E7</v>
      </c>
      <c r="H712" s="19">
        <f t="shared" si="1"/>
        <v>-0.01463369278</v>
      </c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8">
        <v>45397.0</v>
      </c>
      <c r="B713" s="15">
        <v>1480.0</v>
      </c>
      <c r="C713" s="15">
        <v>1491.949951</v>
      </c>
      <c r="D713" s="15">
        <v>1461.050049</v>
      </c>
      <c r="E713" s="15">
        <v>1468.150024</v>
      </c>
      <c r="F713" s="15">
        <v>1468.150024</v>
      </c>
      <c r="G713" s="15">
        <v>8531224.0</v>
      </c>
      <c r="H713" s="19">
        <f t="shared" si="1"/>
        <v>-0.01118031723</v>
      </c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8">
        <v>45398.0</v>
      </c>
      <c r="B714" s="15">
        <v>1451.0</v>
      </c>
      <c r="C714" s="15">
        <v>1455.150024</v>
      </c>
      <c r="D714" s="15">
        <v>1413.050049</v>
      </c>
      <c r="E714" s="15">
        <v>1414.449951</v>
      </c>
      <c r="F714" s="15">
        <v>1414.449951</v>
      </c>
      <c r="G714" s="15">
        <v>1.6173541E7</v>
      </c>
      <c r="H714" s="19">
        <f t="shared" si="1"/>
        <v>-0.0365766932</v>
      </c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8">
        <v>45400.0</v>
      </c>
      <c r="B715" s="15">
        <v>1421.099976</v>
      </c>
      <c r="C715" s="15">
        <v>1444.699951</v>
      </c>
      <c r="D715" s="15">
        <v>1407.5</v>
      </c>
      <c r="E715" s="15">
        <v>1419.25</v>
      </c>
      <c r="F715" s="15">
        <v>1419.25</v>
      </c>
      <c r="G715" s="15">
        <v>2.2107945E7</v>
      </c>
      <c r="H715" s="19">
        <f t="shared" si="1"/>
        <v>0.003393579954</v>
      </c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8">
        <v>45401.0</v>
      </c>
      <c r="B716" s="15">
        <v>1385.0</v>
      </c>
      <c r="C716" s="15">
        <v>1426.849976</v>
      </c>
      <c r="D716" s="15">
        <v>1378.75</v>
      </c>
      <c r="E716" s="15">
        <v>1411.25</v>
      </c>
      <c r="F716" s="15">
        <v>1411.25</v>
      </c>
      <c r="G716" s="15">
        <v>2.0603621E7</v>
      </c>
      <c r="H716" s="19">
        <f t="shared" si="1"/>
        <v>-0.005636779989</v>
      </c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8">
        <v>45404.0</v>
      </c>
      <c r="B717" s="15">
        <v>1419.900024</v>
      </c>
      <c r="C717" s="15">
        <v>1436.849976</v>
      </c>
      <c r="D717" s="15">
        <v>1413.050049</v>
      </c>
      <c r="E717" s="15">
        <v>1432.75</v>
      </c>
      <c r="F717" s="15">
        <v>1432.75</v>
      </c>
      <c r="G717" s="15">
        <v>5859087.0</v>
      </c>
      <c r="H717" s="19">
        <f t="shared" si="1"/>
        <v>0.01523472099</v>
      </c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8">
        <v>45405.0</v>
      </c>
      <c r="B718" s="15">
        <v>1443.0</v>
      </c>
      <c r="C718" s="15">
        <v>1446.849976</v>
      </c>
      <c r="D718" s="15">
        <v>1433.0</v>
      </c>
      <c r="E718" s="15">
        <v>1442.400024</v>
      </c>
      <c r="F718" s="15">
        <v>1442.400024</v>
      </c>
      <c r="G718" s="15">
        <v>4856174.0</v>
      </c>
      <c r="H718" s="19">
        <f t="shared" si="1"/>
        <v>0.006735316001</v>
      </c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8">
        <v>45406.0</v>
      </c>
      <c r="B719" s="15">
        <v>1444.300049</v>
      </c>
      <c r="C719" s="15">
        <v>1444.300049</v>
      </c>
      <c r="D719" s="15">
        <v>1427.050049</v>
      </c>
      <c r="E719" s="15">
        <v>1430.75</v>
      </c>
      <c r="F719" s="15">
        <v>1430.75</v>
      </c>
      <c r="G719" s="15">
        <v>4268213.0</v>
      </c>
      <c r="H719" s="19">
        <f t="shared" si="1"/>
        <v>-0.008076832922</v>
      </c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8">
        <v>45407.0</v>
      </c>
      <c r="B720" s="15">
        <v>1420.0</v>
      </c>
      <c r="C720" s="15">
        <v>1444.900024</v>
      </c>
      <c r="D720" s="15">
        <v>1420.0</v>
      </c>
      <c r="E720" s="15">
        <v>1438.449951</v>
      </c>
      <c r="F720" s="15">
        <v>1438.449951</v>
      </c>
      <c r="G720" s="15">
        <v>9089398.0</v>
      </c>
      <c r="H720" s="19">
        <f t="shared" si="1"/>
        <v>0.005381758518</v>
      </c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8">
        <v>45408.0</v>
      </c>
      <c r="B721" s="15">
        <v>1439.699951</v>
      </c>
      <c r="C721" s="15">
        <v>1445.400024</v>
      </c>
      <c r="D721" s="15">
        <v>1427.0</v>
      </c>
      <c r="E721" s="15">
        <v>1430.25</v>
      </c>
      <c r="F721" s="15">
        <v>1430.25</v>
      </c>
      <c r="G721" s="15">
        <v>8062444.0</v>
      </c>
      <c r="H721" s="19">
        <f t="shared" si="1"/>
        <v>-0.005700546616</v>
      </c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8">
        <v>45411.0</v>
      </c>
      <c r="B722" s="15">
        <v>1429.949951</v>
      </c>
      <c r="C722" s="15">
        <v>1439.800049</v>
      </c>
      <c r="D722" s="15">
        <v>1428.25</v>
      </c>
      <c r="E722" s="15">
        <v>1434.75</v>
      </c>
      <c r="F722" s="15">
        <v>1434.75</v>
      </c>
      <c r="G722" s="15">
        <v>5055957.0</v>
      </c>
      <c r="H722" s="19">
        <f t="shared" si="1"/>
        <v>0.003146303094</v>
      </c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8">
        <v>45412.0</v>
      </c>
      <c r="B723" s="15">
        <v>1434.699951</v>
      </c>
      <c r="C723" s="15">
        <v>1436.550049</v>
      </c>
      <c r="D723" s="15">
        <v>1417.550049</v>
      </c>
      <c r="E723" s="15">
        <v>1420.550049</v>
      </c>
      <c r="F723" s="15">
        <v>1420.550049</v>
      </c>
      <c r="G723" s="15">
        <v>6936588.0</v>
      </c>
      <c r="H723" s="19">
        <f t="shared" si="1"/>
        <v>-0.009897160481</v>
      </c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8">
        <v>45414.0</v>
      </c>
      <c r="B724" s="15">
        <v>1413.0</v>
      </c>
      <c r="C724" s="15">
        <v>1424.0</v>
      </c>
      <c r="D724" s="15">
        <v>1411.849976</v>
      </c>
      <c r="E724" s="15">
        <v>1414.449951</v>
      </c>
      <c r="F724" s="15">
        <v>1414.449951</v>
      </c>
      <c r="G724" s="15">
        <v>1.0076354E7</v>
      </c>
      <c r="H724" s="19">
        <f t="shared" si="1"/>
        <v>-0.004294180275</v>
      </c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8">
        <v>45415.0</v>
      </c>
      <c r="B725" s="15">
        <v>1422.099976</v>
      </c>
      <c r="C725" s="15">
        <v>1424.800049</v>
      </c>
      <c r="D725" s="15">
        <v>1403.199951</v>
      </c>
      <c r="E725" s="15">
        <v>1416.300049</v>
      </c>
      <c r="F725" s="15">
        <v>1416.300049</v>
      </c>
      <c r="G725" s="15">
        <v>8842345.0</v>
      </c>
      <c r="H725" s="19">
        <f t="shared" si="1"/>
        <v>0.001307998207</v>
      </c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8">
        <v>45418.0</v>
      </c>
      <c r="B726" s="15">
        <v>1420.0</v>
      </c>
      <c r="C726" s="15">
        <v>1445.699951</v>
      </c>
      <c r="D726" s="15">
        <v>1417.099976</v>
      </c>
      <c r="E726" s="15">
        <v>1425.900024</v>
      </c>
      <c r="F726" s="15">
        <v>1425.900024</v>
      </c>
      <c r="G726" s="15">
        <v>6445422.0</v>
      </c>
      <c r="H726" s="19">
        <f t="shared" si="1"/>
        <v>0.006778207066</v>
      </c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8">
        <v>45419.0</v>
      </c>
      <c r="B727" s="15">
        <v>1424.949951</v>
      </c>
      <c r="C727" s="15">
        <v>1443.349976</v>
      </c>
      <c r="D727" s="15">
        <v>1415.599976</v>
      </c>
      <c r="E727" s="15">
        <v>1440.949951</v>
      </c>
      <c r="F727" s="15">
        <v>1440.949951</v>
      </c>
      <c r="G727" s="15">
        <v>6080661.0</v>
      </c>
      <c r="H727" s="19">
        <f t="shared" si="1"/>
        <v>0.01055468599</v>
      </c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8">
        <v>45420.0</v>
      </c>
      <c r="B728" s="15">
        <v>1435.25</v>
      </c>
      <c r="C728" s="15">
        <v>1439.75</v>
      </c>
      <c r="D728" s="15">
        <v>1425.599976</v>
      </c>
      <c r="E728" s="15">
        <v>1427.300049</v>
      </c>
      <c r="F728" s="15">
        <v>1427.300049</v>
      </c>
      <c r="G728" s="15">
        <v>6234983.0</v>
      </c>
      <c r="H728" s="19">
        <f t="shared" si="1"/>
        <v>-0.009472849484</v>
      </c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8">
        <v>45421.0</v>
      </c>
      <c r="B729" s="15">
        <v>1427.550049</v>
      </c>
      <c r="C729" s="15">
        <v>1449.949951</v>
      </c>
      <c r="D729" s="15">
        <v>1424.849976</v>
      </c>
      <c r="E729" s="15">
        <v>1439.550049</v>
      </c>
      <c r="F729" s="15">
        <v>1439.550049</v>
      </c>
      <c r="G729" s="15">
        <v>6088406.0</v>
      </c>
      <c r="H729" s="19">
        <f t="shared" si="1"/>
        <v>0.008582638254</v>
      </c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8">
        <v>45422.0</v>
      </c>
      <c r="B730" s="15">
        <v>1435.050049</v>
      </c>
      <c r="C730" s="15">
        <v>1435.949951</v>
      </c>
      <c r="D730" s="15">
        <v>1413.0</v>
      </c>
      <c r="E730" s="15">
        <v>1424.900024</v>
      </c>
      <c r="F730" s="15">
        <v>1424.900024</v>
      </c>
      <c r="G730" s="15">
        <v>8777481.0</v>
      </c>
      <c r="H730" s="19">
        <f t="shared" si="1"/>
        <v>-0.01017680838</v>
      </c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8">
        <v>45425.0</v>
      </c>
      <c r="B731" s="15">
        <v>1425.0</v>
      </c>
      <c r="C731" s="15">
        <v>1425.0</v>
      </c>
      <c r="D731" s="15">
        <v>1411.199951</v>
      </c>
      <c r="E731" s="15">
        <v>1423.449951</v>
      </c>
      <c r="F731" s="15">
        <v>1423.449951</v>
      </c>
      <c r="G731" s="15">
        <v>3735954.0</v>
      </c>
      <c r="H731" s="19">
        <f t="shared" si="1"/>
        <v>-0.001017666486</v>
      </c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8">
        <v>45426.0</v>
      </c>
      <c r="B732" s="15">
        <v>1426.400024</v>
      </c>
      <c r="C732" s="15">
        <v>1433.75</v>
      </c>
      <c r="D732" s="15">
        <v>1418.050049</v>
      </c>
      <c r="E732" s="15">
        <v>1424.699951</v>
      </c>
      <c r="F732" s="15">
        <v>1424.699951</v>
      </c>
      <c r="G732" s="15">
        <v>3463230.0</v>
      </c>
      <c r="H732" s="19">
        <f t="shared" si="1"/>
        <v>0.0008781481914</v>
      </c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8">
        <v>45427.0</v>
      </c>
      <c r="B733" s="15">
        <v>1426.0</v>
      </c>
      <c r="C733" s="15">
        <v>1431.800049</v>
      </c>
      <c r="D733" s="15">
        <v>1418.550049</v>
      </c>
      <c r="E733" s="15">
        <v>1419.949951</v>
      </c>
      <c r="F733" s="15">
        <v>1419.949951</v>
      </c>
      <c r="G733" s="15">
        <v>4327544.0</v>
      </c>
      <c r="H733" s="19">
        <f t="shared" si="1"/>
        <v>-0.00333403535</v>
      </c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8">
        <v>45428.0</v>
      </c>
      <c r="B734" s="15">
        <v>1433.949951</v>
      </c>
      <c r="C734" s="15">
        <v>1455.75</v>
      </c>
      <c r="D734" s="15">
        <v>1427.0</v>
      </c>
      <c r="E734" s="15">
        <v>1453.349976</v>
      </c>
      <c r="F734" s="15">
        <v>1453.349976</v>
      </c>
      <c r="G734" s="15">
        <v>9249145.0</v>
      </c>
      <c r="H734" s="19">
        <f t="shared" si="1"/>
        <v>0.02352197342</v>
      </c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8">
        <v>45429.0</v>
      </c>
      <c r="B735" s="15">
        <v>1457.0</v>
      </c>
      <c r="C735" s="15">
        <v>1457.0</v>
      </c>
      <c r="D735" s="15">
        <v>1439.25</v>
      </c>
      <c r="E735" s="15">
        <v>1444.300049</v>
      </c>
      <c r="F735" s="15">
        <v>1444.300049</v>
      </c>
      <c r="G735" s="15">
        <v>7542860.0</v>
      </c>
      <c r="H735" s="19">
        <f t="shared" si="1"/>
        <v>-0.006226942684</v>
      </c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8">
        <v>45433.0</v>
      </c>
      <c r="B736" s="15">
        <v>1430.0</v>
      </c>
      <c r="C736" s="15">
        <v>1444.699951</v>
      </c>
      <c r="D736" s="15">
        <v>1428.400024</v>
      </c>
      <c r="E736" s="15">
        <v>1434.150024</v>
      </c>
      <c r="F736" s="15">
        <v>1434.150024</v>
      </c>
      <c r="G736" s="15">
        <v>6752663.0</v>
      </c>
      <c r="H736" s="19">
        <f t="shared" si="1"/>
        <v>-0.007027642911</v>
      </c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8">
        <v>45434.0</v>
      </c>
      <c r="B737" s="15">
        <v>1428.75</v>
      </c>
      <c r="C737" s="15">
        <v>1459.949951</v>
      </c>
      <c r="D737" s="15">
        <v>1428.0</v>
      </c>
      <c r="E737" s="15">
        <v>1454.800049</v>
      </c>
      <c r="F737" s="15">
        <v>1454.800049</v>
      </c>
      <c r="G737" s="15">
        <v>7173285.0</v>
      </c>
      <c r="H737" s="19">
        <f t="shared" si="1"/>
        <v>0.01439878998</v>
      </c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8">
        <v>45435.0</v>
      </c>
      <c r="B738" s="15">
        <v>1454.699951</v>
      </c>
      <c r="C738" s="15">
        <v>1478.150024</v>
      </c>
      <c r="D738" s="15">
        <v>1450.0</v>
      </c>
      <c r="E738" s="15">
        <v>1472.400024</v>
      </c>
      <c r="F738" s="15">
        <v>1472.400024</v>
      </c>
      <c r="G738" s="15">
        <v>8641428.0</v>
      </c>
      <c r="H738" s="19">
        <f t="shared" si="1"/>
        <v>0.01209786528</v>
      </c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8">
        <v>45436.0</v>
      </c>
      <c r="B739" s="15">
        <v>1468.25</v>
      </c>
      <c r="C739" s="15">
        <v>1475.5</v>
      </c>
      <c r="D739" s="15">
        <v>1460.0</v>
      </c>
      <c r="E739" s="15">
        <v>1465.099976</v>
      </c>
      <c r="F739" s="15">
        <v>1465.099976</v>
      </c>
      <c r="G739" s="15">
        <v>5277938.0</v>
      </c>
      <c r="H739" s="19">
        <f t="shared" si="1"/>
        <v>-0.004957924396</v>
      </c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8">
        <v>45439.0</v>
      </c>
      <c r="B740" s="15">
        <v>1471.849976</v>
      </c>
      <c r="C740" s="15">
        <v>1479.599976</v>
      </c>
      <c r="D740" s="15">
        <v>1460.25</v>
      </c>
      <c r="E740" s="15">
        <v>1471.349976</v>
      </c>
      <c r="F740" s="15">
        <v>1471.349976</v>
      </c>
      <c r="G740" s="15">
        <v>5821844.0</v>
      </c>
      <c r="H740" s="19">
        <f t="shared" si="1"/>
        <v>0.004265920485</v>
      </c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8">
        <v>45440.0</v>
      </c>
      <c r="B741" s="15">
        <v>1475.5</v>
      </c>
      <c r="C741" s="15">
        <v>1476.0</v>
      </c>
      <c r="D741" s="15">
        <v>1460.300049</v>
      </c>
      <c r="E741" s="15">
        <v>1467.050049</v>
      </c>
      <c r="F741" s="15">
        <v>1467.050049</v>
      </c>
      <c r="G741" s="15">
        <v>6186922.0</v>
      </c>
      <c r="H741" s="19">
        <f t="shared" si="1"/>
        <v>-0.002922436586</v>
      </c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8">
        <v>45441.0</v>
      </c>
      <c r="B742" s="15">
        <v>1465.400024</v>
      </c>
      <c r="C742" s="15">
        <v>1465.5</v>
      </c>
      <c r="D742" s="15">
        <v>1450.0</v>
      </c>
      <c r="E742" s="15">
        <v>1450.949951</v>
      </c>
      <c r="F742" s="15">
        <v>1450.949951</v>
      </c>
      <c r="G742" s="15">
        <v>7401634.0</v>
      </c>
      <c r="H742" s="19">
        <f t="shared" si="1"/>
        <v>-0.01097447085</v>
      </c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8">
        <v>45443.0</v>
      </c>
      <c r="B743" s="15">
        <v>1409.800049</v>
      </c>
      <c r="C743" s="15">
        <v>1436.75</v>
      </c>
      <c r="D743" s="15">
        <v>1400.0</v>
      </c>
      <c r="E743" s="15">
        <v>1406.900024</v>
      </c>
      <c r="F743" s="15">
        <v>1406.900024</v>
      </c>
      <c r="G743" s="15">
        <v>3.7108179E7</v>
      </c>
      <c r="H743" s="19">
        <f t="shared" si="1"/>
        <v>-0.0303593704</v>
      </c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9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9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9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9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9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9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9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9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9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9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9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9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9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9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9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9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9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9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9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9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9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9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9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9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9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9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9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9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9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9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9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9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9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9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9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9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9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9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9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9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9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9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9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9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9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9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9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9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9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9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9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9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9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9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9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9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9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9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9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9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9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9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9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9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9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9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9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9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9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9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9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9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9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9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9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9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9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9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9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9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9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9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9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9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9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9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9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9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9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9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9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9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9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9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9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9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9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9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9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9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9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9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9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9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9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9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9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9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9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9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9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9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9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9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9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9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9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9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9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9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9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9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9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9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9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9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9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9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9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9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9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9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9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9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9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9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9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9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9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9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9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9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9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9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9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9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9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9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9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9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9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9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9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9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9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9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9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9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9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9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9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9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9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9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9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9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9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9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9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9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9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9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9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9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9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9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9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9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9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9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9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9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9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9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9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9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9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9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9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9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9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9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9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9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9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9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9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9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9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9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9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9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9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9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9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9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9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9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9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9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9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9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9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9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9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9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9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9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9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9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9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9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9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9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9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9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9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9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9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9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9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9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9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9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9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9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9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9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9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9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9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9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9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9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9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9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9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9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9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9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9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9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9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9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9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9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44347.0</v>
      </c>
      <c r="B2" s="15">
        <v>381.970001</v>
      </c>
      <c r="C2" s="15">
        <v>383.799988</v>
      </c>
      <c r="D2" s="15">
        <v>379.429993</v>
      </c>
      <c r="E2" s="15">
        <v>380.640015</v>
      </c>
      <c r="F2" s="15">
        <v>373.758057</v>
      </c>
      <c r="G2" s="15">
        <v>2485790.0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>
        <v>44348.0</v>
      </c>
      <c r="B3" s="15">
        <v>382.359985</v>
      </c>
      <c r="C3" s="15">
        <v>384.529999</v>
      </c>
      <c r="D3" s="15">
        <v>377.600006</v>
      </c>
      <c r="E3" s="15">
        <v>378.920013</v>
      </c>
      <c r="F3" s="15">
        <v>372.069122</v>
      </c>
      <c r="G3" s="15">
        <v>2098710.0</v>
      </c>
      <c r="H3" s="19">
        <f t="shared" ref="H3:H743" si="1">(E3-E2)/E2</f>
        <v>-0.004518710415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>
        <v>44349.0</v>
      </c>
      <c r="B4" s="15">
        <v>379.98999</v>
      </c>
      <c r="C4" s="15">
        <v>385.5</v>
      </c>
      <c r="D4" s="15">
        <v>379.049988</v>
      </c>
      <c r="E4" s="15">
        <v>383.589996</v>
      </c>
      <c r="F4" s="15">
        <v>376.654663</v>
      </c>
      <c r="G4" s="15">
        <v>2883775.0</v>
      </c>
      <c r="H4" s="19">
        <f t="shared" si="1"/>
        <v>0.01232445593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>
        <v>44350.0</v>
      </c>
      <c r="B5" s="15">
        <v>385.600006</v>
      </c>
      <c r="C5" s="15">
        <v>389.720001</v>
      </c>
      <c r="D5" s="15">
        <v>383.200012</v>
      </c>
      <c r="E5" s="15">
        <v>384.359985</v>
      </c>
      <c r="F5" s="15">
        <v>377.410736</v>
      </c>
      <c r="G5" s="15">
        <v>2749735.0</v>
      </c>
      <c r="H5" s="19">
        <f t="shared" si="1"/>
        <v>0.002007322944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>
        <v>44351.0</v>
      </c>
      <c r="B6" s="15">
        <v>387.399994</v>
      </c>
      <c r="C6" s="15">
        <v>387.399994</v>
      </c>
      <c r="D6" s="15">
        <v>382.709991</v>
      </c>
      <c r="E6" s="15">
        <v>384.339996</v>
      </c>
      <c r="F6" s="15">
        <v>377.391113</v>
      </c>
      <c r="G6" s="15">
        <v>1798105.0</v>
      </c>
      <c r="H6" s="19">
        <f t="shared" si="1"/>
        <v>-0.00005200593397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>
        <v>44354.0</v>
      </c>
      <c r="B7" s="15">
        <v>387.799988</v>
      </c>
      <c r="C7" s="15">
        <v>422.769989</v>
      </c>
      <c r="D7" s="15">
        <v>385.339996</v>
      </c>
      <c r="E7" s="15">
        <v>418.959991</v>
      </c>
      <c r="F7" s="15">
        <v>411.385193</v>
      </c>
      <c r="G7" s="15">
        <v>3.0720335E7</v>
      </c>
      <c r="H7" s="19">
        <f t="shared" si="1"/>
        <v>0.0900764827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>
        <v>44355.0</v>
      </c>
      <c r="B8" s="15">
        <v>426.190002</v>
      </c>
      <c r="C8" s="15">
        <v>436.799988</v>
      </c>
      <c r="D8" s="15">
        <v>424.399994</v>
      </c>
      <c r="E8" s="15">
        <v>428.970001</v>
      </c>
      <c r="F8" s="15">
        <v>421.214203</v>
      </c>
      <c r="G8" s="15">
        <v>3.2451425E7</v>
      </c>
      <c r="H8" s="19">
        <f t="shared" si="1"/>
        <v>0.02389252009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>
        <v>44356.0</v>
      </c>
      <c r="B9" s="15">
        <v>432.0</v>
      </c>
      <c r="C9" s="15">
        <v>432.600006</v>
      </c>
      <c r="D9" s="15">
        <v>412.0</v>
      </c>
      <c r="E9" s="15">
        <v>414.23999</v>
      </c>
      <c r="F9" s="15">
        <v>406.750519</v>
      </c>
      <c r="G9" s="15">
        <v>1.1678705E7</v>
      </c>
      <c r="H9" s="19">
        <f t="shared" si="1"/>
        <v>-0.03433809116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>
        <v>44357.0</v>
      </c>
      <c r="B10" s="15">
        <v>418.700012</v>
      </c>
      <c r="C10" s="15">
        <v>424.200012</v>
      </c>
      <c r="D10" s="15">
        <v>410.329987</v>
      </c>
      <c r="E10" s="15">
        <v>421.269989</v>
      </c>
      <c r="F10" s="15">
        <v>413.653412</v>
      </c>
      <c r="G10" s="15">
        <v>8977510.0</v>
      </c>
      <c r="H10" s="19">
        <f t="shared" si="1"/>
        <v>0.01697083616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>
        <v>44358.0</v>
      </c>
      <c r="B11" s="15">
        <v>423.0</v>
      </c>
      <c r="C11" s="15">
        <v>426.399994</v>
      </c>
      <c r="D11" s="15">
        <v>416.200012</v>
      </c>
      <c r="E11" s="15">
        <v>418.75</v>
      </c>
      <c r="F11" s="15">
        <v>411.178986</v>
      </c>
      <c r="G11" s="15">
        <v>4220295.0</v>
      </c>
      <c r="H11" s="19">
        <f t="shared" si="1"/>
        <v>-0.005981885883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>
        <v>44361.0</v>
      </c>
      <c r="B12" s="15">
        <v>417.98999</v>
      </c>
      <c r="C12" s="15">
        <v>418.399994</v>
      </c>
      <c r="D12" s="15">
        <v>405.0</v>
      </c>
      <c r="E12" s="15">
        <v>412.880005</v>
      </c>
      <c r="F12" s="15">
        <v>405.415131</v>
      </c>
      <c r="G12" s="15">
        <v>5011980.0</v>
      </c>
      <c r="H12" s="19">
        <f t="shared" si="1"/>
        <v>-0.01401789851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>
        <v>44362.0</v>
      </c>
      <c r="B13" s="15">
        <v>414.200012</v>
      </c>
      <c r="C13" s="15">
        <v>427.970001</v>
      </c>
      <c r="D13" s="15">
        <v>412.399994</v>
      </c>
      <c r="E13" s="15">
        <v>419.589996</v>
      </c>
      <c r="F13" s="15">
        <v>412.003784</v>
      </c>
      <c r="G13" s="15">
        <v>9562490.0</v>
      </c>
      <c r="H13" s="19">
        <f t="shared" si="1"/>
        <v>0.01625167341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>
        <v>44363.0</v>
      </c>
      <c r="B14" s="15">
        <v>421.890015</v>
      </c>
      <c r="C14" s="15">
        <v>424.390015</v>
      </c>
      <c r="D14" s="15">
        <v>415.059998</v>
      </c>
      <c r="E14" s="15">
        <v>417.98999</v>
      </c>
      <c r="F14" s="15">
        <v>410.432739</v>
      </c>
      <c r="G14" s="15">
        <v>4284715.0</v>
      </c>
      <c r="H14" s="19">
        <f t="shared" si="1"/>
        <v>-0.0038132606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>
        <v>44364.0</v>
      </c>
      <c r="B15" s="15">
        <v>414.0</v>
      </c>
      <c r="C15" s="15">
        <v>417.790009</v>
      </c>
      <c r="D15" s="15">
        <v>407.279999</v>
      </c>
      <c r="E15" s="15">
        <v>410.079987</v>
      </c>
      <c r="F15" s="15">
        <v>402.66571</v>
      </c>
      <c r="G15" s="15">
        <v>3771420.0</v>
      </c>
      <c r="H15" s="19">
        <f t="shared" si="1"/>
        <v>-0.01892390533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>
        <v>44365.0</v>
      </c>
      <c r="B16" s="15">
        <v>414.049988</v>
      </c>
      <c r="C16" s="15">
        <v>414.049988</v>
      </c>
      <c r="D16" s="15">
        <v>395.730011</v>
      </c>
      <c r="E16" s="15">
        <v>402.339996</v>
      </c>
      <c r="F16" s="15">
        <v>395.065704</v>
      </c>
      <c r="G16" s="15">
        <v>6521685.0</v>
      </c>
      <c r="H16" s="19">
        <f t="shared" si="1"/>
        <v>-0.01887434463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44368.0</v>
      </c>
      <c r="B17" s="15">
        <v>400.0</v>
      </c>
      <c r="C17" s="15">
        <v>418.75</v>
      </c>
      <c r="D17" s="15">
        <v>396.230011</v>
      </c>
      <c r="E17" s="15">
        <v>415.369995</v>
      </c>
      <c r="F17" s="15">
        <v>407.860107</v>
      </c>
      <c r="G17" s="15">
        <v>8466300.0</v>
      </c>
      <c r="H17" s="19">
        <f t="shared" si="1"/>
        <v>0.0323855424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>
        <v>44369.0</v>
      </c>
      <c r="B18" s="15">
        <v>420.0</v>
      </c>
      <c r="C18" s="15">
        <v>425.670013</v>
      </c>
      <c r="D18" s="15">
        <v>415.0</v>
      </c>
      <c r="E18" s="15">
        <v>416.600006</v>
      </c>
      <c r="F18" s="15">
        <v>409.067902</v>
      </c>
      <c r="G18" s="15">
        <v>6428745.0</v>
      </c>
      <c r="H18" s="19">
        <f t="shared" si="1"/>
        <v>0.00296124182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>
        <v>44370.0</v>
      </c>
      <c r="B19" s="15">
        <v>420.399994</v>
      </c>
      <c r="C19" s="15">
        <v>422.279999</v>
      </c>
      <c r="D19" s="15">
        <v>414.399994</v>
      </c>
      <c r="E19" s="15">
        <v>415.649994</v>
      </c>
      <c r="F19" s="15">
        <v>408.135071</v>
      </c>
      <c r="G19" s="15">
        <v>4048120.0</v>
      </c>
      <c r="H19" s="19">
        <f t="shared" si="1"/>
        <v>-0.00228039363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44371.0</v>
      </c>
      <c r="B20" s="15">
        <v>419.600006</v>
      </c>
      <c r="C20" s="15">
        <v>419.600006</v>
      </c>
      <c r="D20" s="15">
        <v>413.200012</v>
      </c>
      <c r="E20" s="15">
        <v>414.589996</v>
      </c>
      <c r="F20" s="15">
        <v>407.094177</v>
      </c>
      <c r="G20" s="15">
        <v>2707570.0</v>
      </c>
      <c r="H20" s="19">
        <f t="shared" si="1"/>
        <v>-0.002550217768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>
        <v>44372.0</v>
      </c>
      <c r="B21" s="15">
        <v>416.869995</v>
      </c>
      <c r="C21" s="15">
        <v>417.700012</v>
      </c>
      <c r="D21" s="15">
        <v>410.619995</v>
      </c>
      <c r="E21" s="15">
        <v>413.769989</v>
      </c>
      <c r="F21" s="15">
        <v>406.289032</v>
      </c>
      <c r="G21" s="15">
        <v>2379110.0</v>
      </c>
      <c r="H21" s="19">
        <f t="shared" si="1"/>
        <v>-0.001977874546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44375.0</v>
      </c>
      <c r="B22" s="15">
        <v>416.799988</v>
      </c>
      <c r="C22" s="15">
        <v>422.48999</v>
      </c>
      <c r="D22" s="15">
        <v>413.679993</v>
      </c>
      <c r="E22" s="15">
        <v>415.549988</v>
      </c>
      <c r="F22" s="15">
        <v>408.036865</v>
      </c>
      <c r="G22" s="15">
        <v>3538660.0</v>
      </c>
      <c r="H22" s="19">
        <f t="shared" si="1"/>
        <v>0.004301904554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44376.0</v>
      </c>
      <c r="B23" s="15">
        <v>418.399994</v>
      </c>
      <c r="C23" s="15">
        <v>425.380005</v>
      </c>
      <c r="D23" s="15">
        <v>413.01001</v>
      </c>
      <c r="E23" s="15">
        <v>416.369995</v>
      </c>
      <c r="F23" s="15">
        <v>408.84201</v>
      </c>
      <c r="G23" s="15">
        <v>8367385.0</v>
      </c>
      <c r="H23" s="19">
        <f t="shared" si="1"/>
        <v>0.001973305315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>
        <v>44377.0</v>
      </c>
      <c r="B24" s="15">
        <v>412.109985</v>
      </c>
      <c r="C24" s="15">
        <v>420.75</v>
      </c>
      <c r="D24" s="15">
        <v>404.290009</v>
      </c>
      <c r="E24" s="15">
        <v>406.769989</v>
      </c>
      <c r="F24" s="15">
        <v>399.415588</v>
      </c>
      <c r="G24" s="15">
        <v>1.281457E7</v>
      </c>
      <c r="H24" s="19">
        <f t="shared" si="1"/>
        <v>-0.02305643086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>
        <v>44378.0</v>
      </c>
      <c r="B25" s="15">
        <v>409.559998</v>
      </c>
      <c r="C25" s="15">
        <v>411.769989</v>
      </c>
      <c r="D25" s="15">
        <v>406.059998</v>
      </c>
      <c r="E25" s="15">
        <v>406.959991</v>
      </c>
      <c r="F25" s="15">
        <v>399.602142</v>
      </c>
      <c r="G25" s="15">
        <v>3754990.0</v>
      </c>
      <c r="H25" s="19">
        <f t="shared" si="1"/>
        <v>0.0004670993562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44379.0</v>
      </c>
      <c r="B26" s="15">
        <v>409.600006</v>
      </c>
      <c r="C26" s="15">
        <v>413.790009</v>
      </c>
      <c r="D26" s="15">
        <v>407.399994</v>
      </c>
      <c r="E26" s="15">
        <v>412.109985</v>
      </c>
      <c r="F26" s="15">
        <v>404.659027</v>
      </c>
      <c r="G26" s="15">
        <v>2610295.0</v>
      </c>
      <c r="H26" s="19">
        <f t="shared" si="1"/>
        <v>0.01265479191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>
        <v>44382.0</v>
      </c>
      <c r="B27" s="15">
        <v>416.799988</v>
      </c>
      <c r="C27" s="15">
        <v>439.0</v>
      </c>
      <c r="D27" s="15">
        <v>413.630005</v>
      </c>
      <c r="E27" s="15">
        <v>434.720001</v>
      </c>
      <c r="F27" s="15">
        <v>426.86026</v>
      </c>
      <c r="G27" s="15">
        <v>1.5752915E7</v>
      </c>
      <c r="H27" s="19">
        <f t="shared" si="1"/>
        <v>0.05486403344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>
        <v>44383.0</v>
      </c>
      <c r="B28" s="15">
        <v>440.0</v>
      </c>
      <c r="C28" s="15">
        <v>444.399994</v>
      </c>
      <c r="D28" s="15">
        <v>432.0</v>
      </c>
      <c r="E28" s="15">
        <v>433.779999</v>
      </c>
      <c r="F28" s="15">
        <v>425.937225</v>
      </c>
      <c r="G28" s="15">
        <v>1.9202485E7</v>
      </c>
      <c r="H28" s="19">
        <f t="shared" si="1"/>
        <v>-0.002162315969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44384.0</v>
      </c>
      <c r="B29" s="15">
        <v>433.779999</v>
      </c>
      <c r="C29" s="15">
        <v>439.799988</v>
      </c>
      <c r="D29" s="15">
        <v>432.070007</v>
      </c>
      <c r="E29" s="15">
        <v>437.690002</v>
      </c>
      <c r="F29" s="15">
        <v>429.77655</v>
      </c>
      <c r="G29" s="15">
        <v>5026855.0</v>
      </c>
      <c r="H29" s="19">
        <f t="shared" si="1"/>
        <v>0.009013792727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>
        <v>44385.0</v>
      </c>
      <c r="B30" s="15">
        <v>439.0</v>
      </c>
      <c r="C30" s="15">
        <v>449.600006</v>
      </c>
      <c r="D30" s="15">
        <v>437.0</v>
      </c>
      <c r="E30" s="15">
        <v>438.779999</v>
      </c>
      <c r="F30" s="15">
        <v>430.846863</v>
      </c>
      <c r="G30" s="15">
        <v>1.322603E7</v>
      </c>
      <c r="H30" s="19">
        <f t="shared" si="1"/>
        <v>0.002490340184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44386.0</v>
      </c>
      <c r="B31" s="15">
        <v>438.779999</v>
      </c>
      <c r="C31" s="15">
        <v>444.799988</v>
      </c>
      <c r="D31" s="15">
        <v>433.690002</v>
      </c>
      <c r="E31" s="15">
        <v>441.850006</v>
      </c>
      <c r="F31" s="15">
        <v>433.861359</v>
      </c>
      <c r="G31" s="15">
        <v>7415555.0</v>
      </c>
      <c r="H31" s="19">
        <f t="shared" si="1"/>
        <v>0.006996688561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>
        <v>44389.0</v>
      </c>
      <c r="B32" s="15">
        <v>445.790009</v>
      </c>
      <c r="C32" s="15">
        <v>454.380005</v>
      </c>
      <c r="D32" s="15">
        <v>443.450012</v>
      </c>
      <c r="E32" s="15">
        <v>452.579987</v>
      </c>
      <c r="F32" s="15">
        <v>444.397339</v>
      </c>
      <c r="G32" s="15">
        <v>1.0442855E7</v>
      </c>
      <c r="H32" s="19">
        <f t="shared" si="1"/>
        <v>0.02428421603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44390.0</v>
      </c>
      <c r="B33" s="15">
        <v>454.600006</v>
      </c>
      <c r="C33" s="15">
        <v>456.790009</v>
      </c>
      <c r="D33" s="15">
        <v>451.230011</v>
      </c>
      <c r="E33" s="15">
        <v>454.890015</v>
      </c>
      <c r="F33" s="15">
        <v>446.665619</v>
      </c>
      <c r="G33" s="15">
        <v>8587235.0</v>
      </c>
      <c r="H33" s="19">
        <f t="shared" si="1"/>
        <v>0.005104132013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>
        <v>44391.0</v>
      </c>
      <c r="B34" s="15">
        <v>456.380005</v>
      </c>
      <c r="C34" s="15">
        <v>456.380005</v>
      </c>
      <c r="D34" s="15">
        <v>449.109985</v>
      </c>
      <c r="E34" s="15">
        <v>453.279999</v>
      </c>
      <c r="F34" s="15">
        <v>445.084717</v>
      </c>
      <c r="G34" s="15">
        <v>3411760.0</v>
      </c>
      <c r="H34" s="19">
        <f t="shared" si="1"/>
        <v>-0.003539352254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>
        <v>44392.0</v>
      </c>
      <c r="B35" s="15">
        <v>453.279999</v>
      </c>
      <c r="C35" s="15">
        <v>459.420013</v>
      </c>
      <c r="D35" s="15">
        <v>450.200012</v>
      </c>
      <c r="E35" s="15">
        <v>453.660004</v>
      </c>
      <c r="F35" s="15">
        <v>445.457825</v>
      </c>
      <c r="G35" s="15">
        <v>4459290.0</v>
      </c>
      <c r="H35" s="19">
        <f t="shared" si="1"/>
        <v>0.0008383449542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>
        <v>44393.0</v>
      </c>
      <c r="B36" s="15">
        <v>454.799988</v>
      </c>
      <c r="C36" s="15">
        <v>491.480011</v>
      </c>
      <c r="D36" s="15">
        <v>453.75</v>
      </c>
      <c r="E36" s="15">
        <v>485.329987</v>
      </c>
      <c r="F36" s="15">
        <v>476.555237</v>
      </c>
      <c r="G36" s="15">
        <v>3.4640095E7</v>
      </c>
      <c r="H36" s="19">
        <f t="shared" si="1"/>
        <v>0.06980995177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>
        <v>44396.0</v>
      </c>
      <c r="B37" s="15">
        <v>480.980011</v>
      </c>
      <c r="C37" s="15">
        <v>491.200012</v>
      </c>
      <c r="D37" s="15">
        <v>477.089996</v>
      </c>
      <c r="E37" s="15">
        <v>484.899994</v>
      </c>
      <c r="F37" s="15">
        <v>476.132996</v>
      </c>
      <c r="G37" s="15">
        <v>1.179788E7</v>
      </c>
      <c r="H37" s="19">
        <f t="shared" si="1"/>
        <v>-0.0008859806967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44397.0</v>
      </c>
      <c r="B38" s="15">
        <v>487.200012</v>
      </c>
      <c r="C38" s="15">
        <v>495.98999</v>
      </c>
      <c r="D38" s="15">
        <v>474.0</v>
      </c>
      <c r="E38" s="15">
        <v>476.130005</v>
      </c>
      <c r="F38" s="15">
        <v>467.521576</v>
      </c>
      <c r="G38" s="15">
        <v>1.2440815E7</v>
      </c>
      <c r="H38" s="19">
        <f t="shared" si="1"/>
        <v>-0.01808618088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44399.0</v>
      </c>
      <c r="B39" s="15">
        <v>480.799988</v>
      </c>
      <c r="C39" s="15">
        <v>483.410004</v>
      </c>
      <c r="D39" s="15">
        <v>468.399994</v>
      </c>
      <c r="E39" s="15">
        <v>473.029999</v>
      </c>
      <c r="F39" s="15">
        <v>464.477631</v>
      </c>
      <c r="G39" s="15">
        <v>6746515.0</v>
      </c>
      <c r="H39" s="19">
        <f t="shared" si="1"/>
        <v>-0.006510839408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44400.0</v>
      </c>
      <c r="B40" s="15">
        <v>473.980011</v>
      </c>
      <c r="C40" s="15">
        <v>476.48999</v>
      </c>
      <c r="D40" s="15">
        <v>463.200012</v>
      </c>
      <c r="E40" s="15">
        <v>465.070007</v>
      </c>
      <c r="F40" s="15">
        <v>456.661499</v>
      </c>
      <c r="G40" s="15">
        <v>5243460.0</v>
      </c>
      <c r="H40" s="19">
        <f t="shared" si="1"/>
        <v>-0.01682766847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44403.0</v>
      </c>
      <c r="B41" s="15">
        <v>466.899994</v>
      </c>
      <c r="C41" s="15">
        <v>473.0</v>
      </c>
      <c r="D41" s="15">
        <v>460.410004</v>
      </c>
      <c r="E41" s="15">
        <v>462.660004</v>
      </c>
      <c r="F41" s="15">
        <v>454.295135</v>
      </c>
      <c r="G41" s="15">
        <v>6531495.0</v>
      </c>
      <c r="H41" s="19">
        <f t="shared" si="1"/>
        <v>-0.005182021983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>
        <v>44404.0</v>
      </c>
      <c r="B42" s="15">
        <v>465.589996</v>
      </c>
      <c r="C42" s="15">
        <v>469.399994</v>
      </c>
      <c r="D42" s="15">
        <v>456.200012</v>
      </c>
      <c r="E42" s="15">
        <v>459.109985</v>
      </c>
      <c r="F42" s="15">
        <v>450.809296</v>
      </c>
      <c r="G42" s="15">
        <v>4632295.0</v>
      </c>
      <c r="H42" s="19">
        <f t="shared" si="1"/>
        <v>-0.007673062226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>
        <v>44405.0</v>
      </c>
      <c r="B43" s="15">
        <v>461.0</v>
      </c>
      <c r="C43" s="15">
        <v>463.0</v>
      </c>
      <c r="D43" s="15">
        <v>452.570007</v>
      </c>
      <c r="E43" s="15">
        <v>456.730011</v>
      </c>
      <c r="F43" s="15">
        <v>448.472321</v>
      </c>
      <c r="G43" s="15">
        <v>3579030.0</v>
      </c>
      <c r="H43" s="19">
        <f t="shared" si="1"/>
        <v>-0.005183886384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>
        <v>44406.0</v>
      </c>
      <c r="B44" s="15">
        <v>457.559998</v>
      </c>
      <c r="C44" s="15">
        <v>468.700012</v>
      </c>
      <c r="D44" s="15">
        <v>457.200012</v>
      </c>
      <c r="E44" s="15">
        <v>464.220001</v>
      </c>
      <c r="F44" s="15">
        <v>455.826874</v>
      </c>
      <c r="G44" s="15">
        <v>4462290.0</v>
      </c>
      <c r="H44" s="19">
        <f t="shared" si="1"/>
        <v>0.01639916322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>
        <v>44407.0</v>
      </c>
      <c r="B45" s="15">
        <v>464.799988</v>
      </c>
      <c r="C45" s="15">
        <v>472.399994</v>
      </c>
      <c r="D45" s="15">
        <v>460.0</v>
      </c>
      <c r="E45" s="15">
        <v>466.26001</v>
      </c>
      <c r="F45" s="15">
        <v>457.829987</v>
      </c>
      <c r="G45" s="15">
        <v>4357415.0</v>
      </c>
      <c r="H45" s="19">
        <f t="shared" si="1"/>
        <v>0.004394487518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>
        <v>44410.0</v>
      </c>
      <c r="B46" s="15">
        <v>493.799988</v>
      </c>
      <c r="C46" s="15">
        <v>502.600006</v>
      </c>
      <c r="D46" s="15">
        <v>484.470001</v>
      </c>
      <c r="E46" s="15">
        <v>493.779999</v>
      </c>
      <c r="F46" s="15">
        <v>484.852448</v>
      </c>
      <c r="G46" s="15">
        <v>3.6666555E7</v>
      </c>
      <c r="H46" s="19">
        <f t="shared" si="1"/>
        <v>0.05902283792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>
        <v>44411.0</v>
      </c>
      <c r="B47" s="15">
        <v>496.25</v>
      </c>
      <c r="C47" s="15">
        <v>499.5</v>
      </c>
      <c r="D47" s="15">
        <v>489.0</v>
      </c>
      <c r="E47" s="15">
        <v>493.570007</v>
      </c>
      <c r="F47" s="15">
        <v>484.646271</v>
      </c>
      <c r="G47" s="15">
        <v>8598145.0</v>
      </c>
      <c r="H47" s="19">
        <f t="shared" si="1"/>
        <v>-0.0004252744146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>
        <v>44412.0</v>
      </c>
      <c r="B48" s="15">
        <v>496.0</v>
      </c>
      <c r="C48" s="15">
        <v>507.0</v>
      </c>
      <c r="D48" s="15">
        <v>493.130005</v>
      </c>
      <c r="E48" s="15">
        <v>498.230011</v>
      </c>
      <c r="F48" s="15">
        <v>489.222015</v>
      </c>
      <c r="G48" s="15">
        <v>1.151281E7</v>
      </c>
      <c r="H48" s="19">
        <f t="shared" si="1"/>
        <v>0.009441424588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>
        <v>44413.0</v>
      </c>
      <c r="B49" s="15">
        <v>500.200012</v>
      </c>
      <c r="C49" s="15">
        <v>504.399994</v>
      </c>
      <c r="D49" s="15">
        <v>493.059998</v>
      </c>
      <c r="E49" s="15">
        <v>494.579987</v>
      </c>
      <c r="F49" s="15">
        <v>485.63797</v>
      </c>
      <c r="G49" s="15">
        <v>7075850.0</v>
      </c>
      <c r="H49" s="19">
        <f t="shared" si="1"/>
        <v>-0.007325981814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>
        <v>44414.0</v>
      </c>
      <c r="B50" s="15">
        <v>497.0</v>
      </c>
      <c r="C50" s="15">
        <v>500.920013</v>
      </c>
      <c r="D50" s="15">
        <v>494.779999</v>
      </c>
      <c r="E50" s="15">
        <v>497.519989</v>
      </c>
      <c r="F50" s="15">
        <v>488.524811</v>
      </c>
      <c r="G50" s="15">
        <v>3553315.0</v>
      </c>
      <c r="H50" s="19">
        <f t="shared" si="1"/>
        <v>0.005944441905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>
        <v>44417.0</v>
      </c>
      <c r="B51" s="15">
        <v>500.079987</v>
      </c>
      <c r="C51" s="15">
        <v>536.0</v>
      </c>
      <c r="D51" s="15">
        <v>499.470001</v>
      </c>
      <c r="E51" s="15">
        <v>529.640015</v>
      </c>
      <c r="F51" s="15">
        <v>520.064026</v>
      </c>
      <c r="G51" s="15">
        <v>2.7172245E7</v>
      </c>
      <c r="H51" s="19">
        <f t="shared" si="1"/>
        <v>0.06456027237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>
        <v>44418.0</v>
      </c>
      <c r="B52" s="15">
        <v>533.0</v>
      </c>
      <c r="C52" s="15">
        <v>545.0</v>
      </c>
      <c r="D52" s="15">
        <v>524.0</v>
      </c>
      <c r="E52" s="15">
        <v>527.919983</v>
      </c>
      <c r="F52" s="15">
        <v>518.375183</v>
      </c>
      <c r="G52" s="15">
        <v>2.271838E7</v>
      </c>
      <c r="H52" s="19">
        <f t="shared" si="1"/>
        <v>-0.003247549187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>
        <v>44419.0</v>
      </c>
      <c r="B53" s="15">
        <v>531.390015</v>
      </c>
      <c r="C53" s="15">
        <v>534.369995</v>
      </c>
      <c r="D53" s="15">
        <v>505.600006</v>
      </c>
      <c r="E53" s="15">
        <v>514.450012</v>
      </c>
      <c r="F53" s="15">
        <v>505.148712</v>
      </c>
      <c r="G53" s="15">
        <v>1.486592E7</v>
      </c>
      <c r="H53" s="19">
        <f t="shared" si="1"/>
        <v>-0.02551517547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>
        <v>44420.0</v>
      </c>
      <c r="B54" s="15">
        <v>518.789978</v>
      </c>
      <c r="C54" s="15">
        <v>545.77002</v>
      </c>
      <c r="D54" s="15">
        <v>514.450012</v>
      </c>
      <c r="E54" s="15">
        <v>537.960022</v>
      </c>
      <c r="F54" s="15">
        <v>528.233704</v>
      </c>
      <c r="G54" s="15">
        <v>3.034199E7</v>
      </c>
      <c r="H54" s="19">
        <f t="shared" si="1"/>
        <v>0.04569930888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>
        <v>44421.0</v>
      </c>
      <c r="B55" s="15">
        <v>542.859985</v>
      </c>
      <c r="C55" s="15">
        <v>542.859985</v>
      </c>
      <c r="D55" s="15">
        <v>527.599976</v>
      </c>
      <c r="E55" s="15">
        <v>532.140015</v>
      </c>
      <c r="F55" s="15">
        <v>522.518982</v>
      </c>
      <c r="G55" s="15">
        <v>1.1688585E7</v>
      </c>
      <c r="H55" s="19">
        <f t="shared" si="1"/>
        <v>-0.0108186608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>
        <v>44424.0</v>
      </c>
      <c r="B56" s="15">
        <v>534.76001</v>
      </c>
      <c r="C56" s="15">
        <v>534.76001</v>
      </c>
      <c r="D56" s="15">
        <v>522.400024</v>
      </c>
      <c r="E56" s="15">
        <v>525.919983</v>
      </c>
      <c r="F56" s="15">
        <v>516.411316</v>
      </c>
      <c r="G56" s="15">
        <v>4956310.0</v>
      </c>
      <c r="H56" s="19">
        <f t="shared" si="1"/>
        <v>-0.01168871317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>
        <v>44425.0</v>
      </c>
      <c r="B57" s="15">
        <v>526.0</v>
      </c>
      <c r="C57" s="15">
        <v>539.0</v>
      </c>
      <c r="D57" s="15">
        <v>523.0</v>
      </c>
      <c r="E57" s="15">
        <v>533.919983</v>
      </c>
      <c r="F57" s="15">
        <v>524.266663</v>
      </c>
      <c r="G57" s="15">
        <v>8253620.0</v>
      </c>
      <c r="H57" s="19">
        <f t="shared" si="1"/>
        <v>0.01521143949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>
        <v>44426.0</v>
      </c>
      <c r="B58" s="15">
        <v>536.549988</v>
      </c>
      <c r="C58" s="15">
        <v>550.0</v>
      </c>
      <c r="D58" s="15">
        <v>534.650024</v>
      </c>
      <c r="E58" s="15">
        <v>543.809998</v>
      </c>
      <c r="F58" s="15">
        <v>533.977905</v>
      </c>
      <c r="G58" s="15">
        <v>1.362977E7</v>
      </c>
      <c r="H58" s="19">
        <f t="shared" si="1"/>
        <v>0.01852340297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>
        <v>44428.0</v>
      </c>
      <c r="B59" s="15">
        <v>540.0</v>
      </c>
      <c r="C59" s="15">
        <v>542.599976</v>
      </c>
      <c r="D59" s="15">
        <v>522.200012</v>
      </c>
      <c r="E59" s="15">
        <v>529.26001</v>
      </c>
      <c r="F59" s="15">
        <v>519.69104</v>
      </c>
      <c r="G59" s="15">
        <v>8280035.0</v>
      </c>
      <c r="H59" s="19">
        <f t="shared" si="1"/>
        <v>-0.02675564637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>
        <v>44431.0</v>
      </c>
      <c r="B60" s="15">
        <v>533.0</v>
      </c>
      <c r="C60" s="15">
        <v>536.98999</v>
      </c>
      <c r="D60" s="15">
        <v>507.109985</v>
      </c>
      <c r="E60" s="15">
        <v>510.820007</v>
      </c>
      <c r="F60" s="15">
        <v>501.584412</v>
      </c>
      <c r="G60" s="15">
        <v>8559910.0</v>
      </c>
      <c r="H60" s="19">
        <f t="shared" si="1"/>
        <v>-0.0348411039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>
        <v>44432.0</v>
      </c>
      <c r="B61" s="15">
        <v>514.0</v>
      </c>
      <c r="C61" s="15">
        <v>522.309998</v>
      </c>
      <c r="D61" s="15">
        <v>508.0</v>
      </c>
      <c r="E61" s="15">
        <v>512.960022</v>
      </c>
      <c r="F61" s="15">
        <v>503.685699</v>
      </c>
      <c r="G61" s="15">
        <v>6996380.0</v>
      </c>
      <c r="H61" s="19">
        <f t="shared" si="1"/>
        <v>0.004189371933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>
        <v>44433.0</v>
      </c>
      <c r="B62" s="15">
        <v>515.380005</v>
      </c>
      <c r="C62" s="15">
        <v>530.700012</v>
      </c>
      <c r="D62" s="15">
        <v>514.150024</v>
      </c>
      <c r="E62" s="15">
        <v>527.299988</v>
      </c>
      <c r="F62" s="15">
        <v>517.766357</v>
      </c>
      <c r="G62" s="15">
        <v>1.2582655E7</v>
      </c>
      <c r="H62" s="19">
        <f t="shared" si="1"/>
        <v>0.02795532865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>
        <v>44434.0</v>
      </c>
      <c r="B63" s="15">
        <v>529.590027</v>
      </c>
      <c r="C63" s="15">
        <v>532.780029</v>
      </c>
      <c r="D63" s="15">
        <v>523.0</v>
      </c>
      <c r="E63" s="15">
        <v>524.340027</v>
      </c>
      <c r="F63" s="15">
        <v>514.859924</v>
      </c>
      <c r="G63" s="15">
        <v>7009955.0</v>
      </c>
      <c r="H63" s="19">
        <f t="shared" si="1"/>
        <v>-0.005613428916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>
        <v>44435.0</v>
      </c>
      <c r="B64" s="15">
        <v>525.0</v>
      </c>
      <c r="C64" s="15">
        <v>531.359985</v>
      </c>
      <c r="D64" s="15">
        <v>521.0</v>
      </c>
      <c r="E64" s="15">
        <v>529.73999</v>
      </c>
      <c r="F64" s="15">
        <v>520.162231</v>
      </c>
      <c r="G64" s="15">
        <v>4466105.0</v>
      </c>
      <c r="H64" s="19">
        <f t="shared" si="1"/>
        <v>0.01029859008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>
        <v>44438.0</v>
      </c>
      <c r="B65" s="15">
        <v>533.599976</v>
      </c>
      <c r="C65" s="15">
        <v>542.599976</v>
      </c>
      <c r="D65" s="15">
        <v>531.799988</v>
      </c>
      <c r="E65" s="15">
        <v>539.549988</v>
      </c>
      <c r="F65" s="15">
        <v>529.794861</v>
      </c>
      <c r="G65" s="15">
        <v>6642175.0</v>
      </c>
      <c r="H65" s="19">
        <f t="shared" si="1"/>
        <v>0.01851851509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>
        <v>44439.0</v>
      </c>
      <c r="B66" s="15">
        <v>542.200012</v>
      </c>
      <c r="C66" s="15">
        <v>551.900024</v>
      </c>
      <c r="D66" s="15">
        <v>540.200012</v>
      </c>
      <c r="E66" s="15">
        <v>550.400024</v>
      </c>
      <c r="F66" s="15">
        <v>540.44873</v>
      </c>
      <c r="G66" s="15">
        <v>1.0251115E7</v>
      </c>
      <c r="H66" s="19">
        <f t="shared" si="1"/>
        <v>0.02010941755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>
        <v>44440.0</v>
      </c>
      <c r="B67" s="15">
        <v>551.0</v>
      </c>
      <c r="C67" s="15">
        <v>553.080017</v>
      </c>
      <c r="D67" s="15">
        <v>543.599976</v>
      </c>
      <c r="E67" s="15">
        <v>549.25</v>
      </c>
      <c r="F67" s="15">
        <v>539.319641</v>
      </c>
      <c r="G67" s="15">
        <v>4574825.0</v>
      </c>
      <c r="H67" s="19">
        <f t="shared" si="1"/>
        <v>-0.002089433048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>
        <v>44441.0</v>
      </c>
      <c r="B68" s="15">
        <v>549.200012</v>
      </c>
      <c r="C68" s="15">
        <v>571.599976</v>
      </c>
      <c r="D68" s="15">
        <v>548.599976</v>
      </c>
      <c r="E68" s="15">
        <v>565.98999</v>
      </c>
      <c r="F68" s="15">
        <v>555.756836</v>
      </c>
      <c r="G68" s="15">
        <v>1.231409E7</v>
      </c>
      <c r="H68" s="19">
        <f t="shared" si="1"/>
        <v>0.03047790624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>
        <v>44442.0</v>
      </c>
      <c r="B69" s="15">
        <v>568.799988</v>
      </c>
      <c r="C69" s="15">
        <v>579.460022</v>
      </c>
      <c r="D69" s="15">
        <v>565.299988</v>
      </c>
      <c r="E69" s="15">
        <v>573.97998</v>
      </c>
      <c r="F69" s="15">
        <v>563.602417</v>
      </c>
      <c r="G69" s="15">
        <v>8757735.0</v>
      </c>
      <c r="H69" s="19">
        <f t="shared" si="1"/>
        <v>0.01411683977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>
        <v>44445.0</v>
      </c>
      <c r="B70" s="15">
        <v>577.119995</v>
      </c>
      <c r="C70" s="15">
        <v>608.0</v>
      </c>
      <c r="D70" s="15">
        <v>575.830017</v>
      </c>
      <c r="E70" s="15">
        <v>601.679993</v>
      </c>
      <c r="F70" s="15">
        <v>590.801697</v>
      </c>
      <c r="G70" s="15">
        <v>2.530257E7</v>
      </c>
      <c r="H70" s="19">
        <f t="shared" si="1"/>
        <v>0.04825954557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>
        <v>44446.0</v>
      </c>
      <c r="B71" s="15">
        <v>610.0</v>
      </c>
      <c r="C71" s="15">
        <v>661.0</v>
      </c>
      <c r="D71" s="15">
        <v>609.070007</v>
      </c>
      <c r="E71" s="15">
        <v>657.380005</v>
      </c>
      <c r="F71" s="15">
        <v>645.494568</v>
      </c>
      <c r="G71" s="15">
        <v>5.7776555E7</v>
      </c>
      <c r="H71" s="19">
        <f t="shared" si="1"/>
        <v>0.0925741468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>
        <v>44447.0</v>
      </c>
      <c r="B72" s="15">
        <v>666.0</v>
      </c>
      <c r="C72" s="15">
        <v>684.530029</v>
      </c>
      <c r="D72" s="15">
        <v>653.109985</v>
      </c>
      <c r="E72" s="15">
        <v>659.280029</v>
      </c>
      <c r="F72" s="15">
        <v>647.360229</v>
      </c>
      <c r="G72" s="15">
        <v>4.436397E7</v>
      </c>
      <c r="H72" s="19">
        <f t="shared" si="1"/>
        <v>0.002890297827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>
        <v>44448.0</v>
      </c>
      <c r="B73" s="15">
        <v>650.0</v>
      </c>
      <c r="C73" s="15">
        <v>671.599976</v>
      </c>
      <c r="D73" s="15">
        <v>636.450012</v>
      </c>
      <c r="E73" s="15">
        <v>659.0</v>
      </c>
      <c r="F73" s="15">
        <v>647.085266</v>
      </c>
      <c r="G73" s="15">
        <v>2.8326075E7</v>
      </c>
      <c r="H73" s="19">
        <f t="shared" si="1"/>
        <v>-0.0004247497083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>
        <v>44452.0</v>
      </c>
      <c r="B74" s="15">
        <v>663.0</v>
      </c>
      <c r="C74" s="15">
        <v>690.140015</v>
      </c>
      <c r="D74" s="15">
        <v>662.0</v>
      </c>
      <c r="E74" s="15">
        <v>687.150024</v>
      </c>
      <c r="F74" s="15">
        <v>674.726318</v>
      </c>
      <c r="G74" s="15">
        <v>2.3892315E7</v>
      </c>
      <c r="H74" s="19">
        <f t="shared" si="1"/>
        <v>0.04271627314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>
        <v>44453.0</v>
      </c>
      <c r="B75" s="15">
        <v>697.400024</v>
      </c>
      <c r="C75" s="15">
        <v>751.76001</v>
      </c>
      <c r="D75" s="15">
        <v>695.200012</v>
      </c>
      <c r="E75" s="15">
        <v>747.690002</v>
      </c>
      <c r="F75" s="15">
        <v>734.171814</v>
      </c>
      <c r="G75" s="15">
        <v>5.9109125E7</v>
      </c>
      <c r="H75" s="19">
        <f t="shared" si="1"/>
        <v>0.08810299918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>
        <v>44454.0</v>
      </c>
      <c r="B76" s="15">
        <v>758.799988</v>
      </c>
      <c r="C76" s="15">
        <v>787.97998</v>
      </c>
      <c r="D76" s="15">
        <v>730.450012</v>
      </c>
      <c r="E76" s="15">
        <v>736.450012</v>
      </c>
      <c r="F76" s="15">
        <v>723.134949</v>
      </c>
      <c r="G76" s="15">
        <v>4.27814E7</v>
      </c>
      <c r="H76" s="19">
        <f t="shared" si="1"/>
        <v>-0.01503295479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>
        <v>44455.0</v>
      </c>
      <c r="B77" s="15">
        <v>748.960022</v>
      </c>
      <c r="C77" s="15">
        <v>759.75</v>
      </c>
      <c r="D77" s="15">
        <v>736.450012</v>
      </c>
      <c r="E77" s="15">
        <v>753.940002</v>
      </c>
      <c r="F77" s="15">
        <v>740.308777</v>
      </c>
      <c r="G77" s="15">
        <v>1.8011055E7</v>
      </c>
      <c r="H77" s="19">
        <f t="shared" si="1"/>
        <v>0.0237490525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>
        <v>44456.0</v>
      </c>
      <c r="B78" s="15">
        <v>764.0</v>
      </c>
      <c r="C78" s="15">
        <v>803.940002</v>
      </c>
      <c r="D78" s="15">
        <v>758.140015</v>
      </c>
      <c r="E78" s="15">
        <v>772.679993</v>
      </c>
      <c r="F78" s="15">
        <v>758.709961</v>
      </c>
      <c r="G78" s="15">
        <v>6.1620795E7</v>
      </c>
      <c r="H78" s="19">
        <f t="shared" si="1"/>
        <v>0.02485607734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>
        <v>44459.0</v>
      </c>
      <c r="B79" s="15">
        <v>769.76001</v>
      </c>
      <c r="C79" s="15">
        <v>769.76001</v>
      </c>
      <c r="D79" s="15">
        <v>736.039978</v>
      </c>
      <c r="E79" s="15">
        <v>741.580017</v>
      </c>
      <c r="F79" s="15">
        <v>728.17218</v>
      </c>
      <c r="G79" s="15">
        <v>2.3477555E7</v>
      </c>
      <c r="H79" s="19">
        <f t="shared" si="1"/>
        <v>-0.04024949045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>
        <v>44460.0</v>
      </c>
      <c r="B80" s="15">
        <v>745.72998</v>
      </c>
      <c r="C80" s="15">
        <v>769.960022</v>
      </c>
      <c r="D80" s="15">
        <v>710.0</v>
      </c>
      <c r="E80" s="15">
        <v>724.909973</v>
      </c>
      <c r="F80" s="15">
        <v>712.764832</v>
      </c>
      <c r="G80" s="15">
        <v>2.6517155E7</v>
      </c>
      <c r="H80" s="19">
        <f t="shared" si="1"/>
        <v>-0.02247909008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8">
        <v>44461.0</v>
      </c>
      <c r="B81" s="15">
        <v>734.799988</v>
      </c>
      <c r="C81" s="15">
        <v>750.0</v>
      </c>
      <c r="D81" s="15">
        <v>728.099976</v>
      </c>
      <c r="E81" s="15">
        <v>734.26001</v>
      </c>
      <c r="F81" s="15">
        <v>721.958191</v>
      </c>
      <c r="G81" s="15">
        <v>1.454047E7</v>
      </c>
      <c r="H81" s="19">
        <f t="shared" si="1"/>
        <v>0.0128982044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8">
        <v>44462.0</v>
      </c>
      <c r="B82" s="15">
        <v>748.799988</v>
      </c>
      <c r="C82" s="15">
        <v>751.799988</v>
      </c>
      <c r="D82" s="15">
        <v>736.0</v>
      </c>
      <c r="E82" s="15">
        <v>738.809998</v>
      </c>
      <c r="F82" s="15">
        <v>726.431885</v>
      </c>
      <c r="G82" s="15">
        <v>7153935.0</v>
      </c>
      <c r="H82" s="19">
        <f t="shared" si="1"/>
        <v>0.006196698633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8">
        <v>44463.0</v>
      </c>
      <c r="B83" s="15">
        <v>744.0</v>
      </c>
      <c r="C83" s="15">
        <v>747.200012</v>
      </c>
      <c r="D83" s="15">
        <v>728.0</v>
      </c>
      <c r="E83" s="15">
        <v>737.849976</v>
      </c>
      <c r="F83" s="15">
        <v>725.487976</v>
      </c>
      <c r="G83" s="15">
        <v>7698190.0</v>
      </c>
      <c r="H83" s="19">
        <f t="shared" si="1"/>
        <v>-0.001299416633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8">
        <v>44466.0</v>
      </c>
      <c r="B84" s="15">
        <v>747.02002</v>
      </c>
      <c r="C84" s="15">
        <v>773.0</v>
      </c>
      <c r="D84" s="15">
        <v>740.200012</v>
      </c>
      <c r="E84" s="15">
        <v>766.97998</v>
      </c>
      <c r="F84" s="15">
        <v>754.129944</v>
      </c>
      <c r="G84" s="15">
        <v>1.861232E7</v>
      </c>
      <c r="H84" s="19">
        <f t="shared" si="1"/>
        <v>0.03947957572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8">
        <v>44467.0</v>
      </c>
      <c r="B85" s="15">
        <v>779.0</v>
      </c>
      <c r="C85" s="15">
        <v>795.0</v>
      </c>
      <c r="D85" s="15">
        <v>756.400024</v>
      </c>
      <c r="E85" s="15">
        <v>773.119995</v>
      </c>
      <c r="F85" s="15">
        <v>760.167053</v>
      </c>
      <c r="G85" s="15">
        <v>3.288657E7</v>
      </c>
      <c r="H85" s="19">
        <f t="shared" si="1"/>
        <v>0.008005443636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8">
        <v>44468.0</v>
      </c>
      <c r="B86" s="15">
        <v>771.780029</v>
      </c>
      <c r="C86" s="15">
        <v>771.780029</v>
      </c>
      <c r="D86" s="15">
        <v>751.109985</v>
      </c>
      <c r="E86" s="15">
        <v>754.030029</v>
      </c>
      <c r="F86" s="15">
        <v>741.396912</v>
      </c>
      <c r="G86" s="15">
        <v>1.2895755E7</v>
      </c>
      <c r="H86" s="19">
        <f t="shared" si="1"/>
        <v>-0.02469211264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8">
        <v>44469.0</v>
      </c>
      <c r="B87" s="15">
        <v>764.0</v>
      </c>
      <c r="C87" s="15">
        <v>776.0</v>
      </c>
      <c r="D87" s="15">
        <v>755.440002</v>
      </c>
      <c r="E87" s="15">
        <v>759.700012</v>
      </c>
      <c r="F87" s="15">
        <v>746.971924</v>
      </c>
      <c r="G87" s="15">
        <v>1.462446E7</v>
      </c>
      <c r="H87" s="19">
        <f t="shared" si="1"/>
        <v>0.007519571876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>
        <v>44470.0</v>
      </c>
      <c r="B88" s="15">
        <v>755.400024</v>
      </c>
      <c r="C88" s="15">
        <v>764.200012</v>
      </c>
      <c r="D88" s="15">
        <v>746.630005</v>
      </c>
      <c r="E88" s="15">
        <v>758.719971</v>
      </c>
      <c r="F88" s="15">
        <v>746.008301</v>
      </c>
      <c r="G88" s="15">
        <v>7999080.0</v>
      </c>
      <c r="H88" s="19">
        <f t="shared" si="1"/>
        <v>-0.001290036836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8">
        <v>44473.0</v>
      </c>
      <c r="B89" s="15">
        <v>762.52002</v>
      </c>
      <c r="C89" s="15">
        <v>812.969971</v>
      </c>
      <c r="D89" s="15">
        <v>761.679993</v>
      </c>
      <c r="E89" s="15">
        <v>801.780029</v>
      </c>
      <c r="F89" s="15">
        <v>788.346863</v>
      </c>
      <c r="G89" s="15">
        <v>2.639434E7</v>
      </c>
      <c r="H89" s="19">
        <f t="shared" si="1"/>
        <v>0.05675355816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8">
        <v>44474.0</v>
      </c>
      <c r="B90" s="15">
        <v>817.0</v>
      </c>
      <c r="C90" s="15">
        <v>841.679993</v>
      </c>
      <c r="D90" s="15">
        <v>801.0</v>
      </c>
      <c r="E90" s="15">
        <v>833.219971</v>
      </c>
      <c r="F90" s="15">
        <v>819.260071</v>
      </c>
      <c r="G90" s="15">
        <v>3.6846475E7</v>
      </c>
      <c r="H90" s="19">
        <f t="shared" si="1"/>
        <v>0.03921267787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8">
        <v>44475.0</v>
      </c>
      <c r="B91" s="15">
        <v>839.799988</v>
      </c>
      <c r="C91" s="15">
        <v>902.0</v>
      </c>
      <c r="D91" s="15">
        <v>836.0</v>
      </c>
      <c r="E91" s="15">
        <v>892.669983</v>
      </c>
      <c r="F91" s="15">
        <v>877.714172</v>
      </c>
      <c r="G91" s="15">
        <v>5.858118E7</v>
      </c>
      <c r="H91" s="19">
        <f t="shared" si="1"/>
        <v>0.07134972044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8">
        <v>44476.0</v>
      </c>
      <c r="B92" s="15">
        <v>919.599976</v>
      </c>
      <c r="C92" s="15">
        <v>953.789978</v>
      </c>
      <c r="D92" s="15">
        <v>905.01001</v>
      </c>
      <c r="E92" s="15">
        <v>938.179993</v>
      </c>
      <c r="F92" s="15">
        <v>922.461609</v>
      </c>
      <c r="G92" s="15">
        <v>4.32276E7</v>
      </c>
      <c r="H92" s="19">
        <f t="shared" si="1"/>
        <v>0.05098189798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8">
        <v>44477.0</v>
      </c>
      <c r="B93" s="15">
        <v>964.799988</v>
      </c>
      <c r="C93" s="15">
        <v>992.840027</v>
      </c>
      <c r="D93" s="15">
        <v>944.219971</v>
      </c>
      <c r="E93" s="15">
        <v>975.309998</v>
      </c>
      <c r="F93" s="15">
        <v>958.969482</v>
      </c>
      <c r="G93" s="15">
        <v>6.136731E7</v>
      </c>
      <c r="H93" s="19">
        <f t="shared" si="1"/>
        <v>0.03957663271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8">
        <v>44480.0</v>
      </c>
      <c r="B94" s="15">
        <v>980.97998</v>
      </c>
      <c r="C94" s="15">
        <v>985.700012</v>
      </c>
      <c r="D94" s="15">
        <v>950.0</v>
      </c>
      <c r="E94" s="15">
        <v>954.51001</v>
      </c>
      <c r="F94" s="15">
        <v>938.518005</v>
      </c>
      <c r="G94" s="15">
        <v>3.0074685E7</v>
      </c>
      <c r="H94" s="19">
        <f t="shared" si="1"/>
        <v>-0.02132654032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>
        <v>44481.0</v>
      </c>
      <c r="B95" s="15">
        <v>953.0</v>
      </c>
      <c r="C95" s="15">
        <v>975.400024</v>
      </c>
      <c r="D95" s="15">
        <v>945.0</v>
      </c>
      <c r="E95" s="15">
        <v>963.450012</v>
      </c>
      <c r="F95" s="15">
        <v>947.308228</v>
      </c>
      <c r="G95" s="15">
        <v>1.6397E7</v>
      </c>
      <c r="H95" s="19">
        <f t="shared" si="1"/>
        <v>0.009366064165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>
        <v>44482.0</v>
      </c>
      <c r="B96" s="15">
        <v>970.200012</v>
      </c>
      <c r="C96" s="15">
        <v>992.0</v>
      </c>
      <c r="D96" s="15">
        <v>966.25</v>
      </c>
      <c r="E96" s="15">
        <v>985.76001</v>
      </c>
      <c r="F96" s="15">
        <v>969.244446</v>
      </c>
      <c r="G96" s="15">
        <v>1.621066E7</v>
      </c>
      <c r="H96" s="19">
        <f t="shared" si="1"/>
        <v>0.02315636278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>
        <v>44483.0</v>
      </c>
      <c r="B97" s="15">
        <v>1000.799988</v>
      </c>
      <c r="C97" s="15">
        <v>1118.800049</v>
      </c>
      <c r="D97" s="15">
        <v>998.0</v>
      </c>
      <c r="E97" s="15">
        <v>1092.709961</v>
      </c>
      <c r="F97" s="15">
        <v>1074.402466</v>
      </c>
      <c r="G97" s="15">
        <v>7.11771E7</v>
      </c>
      <c r="H97" s="19">
        <f t="shared" si="1"/>
        <v>0.1084949175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>
        <v>44487.0</v>
      </c>
      <c r="B98" s="15">
        <v>1118.800049</v>
      </c>
      <c r="C98" s="15">
        <v>1193.400024</v>
      </c>
      <c r="D98" s="15">
        <v>1115.01001</v>
      </c>
      <c r="E98" s="15">
        <v>1175.540039</v>
      </c>
      <c r="F98" s="15">
        <v>1155.844849</v>
      </c>
      <c r="G98" s="15">
        <v>3.969458E7</v>
      </c>
      <c r="H98" s="19">
        <f t="shared" si="1"/>
        <v>0.07580243702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>
        <v>44488.0</v>
      </c>
      <c r="B99" s="15">
        <v>1235.0</v>
      </c>
      <c r="C99" s="15">
        <v>1279.26001</v>
      </c>
      <c r="D99" s="15">
        <v>999.210022</v>
      </c>
      <c r="E99" s="15">
        <v>1090.969971</v>
      </c>
      <c r="F99" s="15">
        <v>1072.691772</v>
      </c>
      <c r="G99" s="15">
        <v>7.430575E7</v>
      </c>
      <c r="H99" s="19">
        <f t="shared" si="1"/>
        <v>-0.07194146111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>
        <v>44489.0</v>
      </c>
      <c r="B100" s="15">
        <v>981.880005</v>
      </c>
      <c r="C100" s="15">
        <v>999.960022</v>
      </c>
      <c r="D100" s="15">
        <v>875.460022</v>
      </c>
      <c r="E100" s="15">
        <v>886.869995</v>
      </c>
      <c r="F100" s="15">
        <v>872.011292</v>
      </c>
      <c r="G100" s="15">
        <v>9.8333925E7</v>
      </c>
      <c r="H100" s="19">
        <f t="shared" si="1"/>
        <v>-0.1870812043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>
        <v>44490.0</v>
      </c>
      <c r="B101" s="15">
        <v>888.140015</v>
      </c>
      <c r="C101" s="15">
        <v>950.0</v>
      </c>
      <c r="D101" s="15">
        <v>882.820007</v>
      </c>
      <c r="E101" s="15">
        <v>914.650024</v>
      </c>
      <c r="F101" s="15">
        <v>899.325867</v>
      </c>
      <c r="G101" s="15">
        <v>4.6361195E7</v>
      </c>
      <c r="H101" s="19">
        <f t="shared" si="1"/>
        <v>0.0313236767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>
        <v>44491.0</v>
      </c>
      <c r="B102" s="15">
        <v>925.599976</v>
      </c>
      <c r="C102" s="15">
        <v>936.0</v>
      </c>
      <c r="D102" s="15">
        <v>890.01001</v>
      </c>
      <c r="E102" s="15">
        <v>924.51001</v>
      </c>
      <c r="F102" s="15">
        <v>909.02063</v>
      </c>
      <c r="G102" s="15">
        <v>2.802252E7</v>
      </c>
      <c r="H102" s="19">
        <f t="shared" si="1"/>
        <v>0.01078006422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>
        <v>44494.0</v>
      </c>
      <c r="B103" s="15">
        <v>937.0</v>
      </c>
      <c r="C103" s="15">
        <v>937.0</v>
      </c>
      <c r="D103" s="15">
        <v>792.219971</v>
      </c>
      <c r="E103" s="15">
        <v>804.469971</v>
      </c>
      <c r="F103" s="15">
        <v>790.99176</v>
      </c>
      <c r="G103" s="15">
        <v>3.8866505E7</v>
      </c>
      <c r="H103" s="19">
        <f t="shared" si="1"/>
        <v>-0.1298417948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>
        <v>44495.0</v>
      </c>
      <c r="B104" s="15">
        <v>813.599976</v>
      </c>
      <c r="C104" s="15">
        <v>880.0</v>
      </c>
      <c r="D104" s="15">
        <v>810.200012</v>
      </c>
      <c r="E104" s="15">
        <v>837.900024</v>
      </c>
      <c r="F104" s="15">
        <v>823.861694</v>
      </c>
      <c r="G104" s="15">
        <v>4.1011205E7</v>
      </c>
      <c r="H104" s="19">
        <f t="shared" si="1"/>
        <v>0.04155537709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>
        <v>44496.0</v>
      </c>
      <c r="B105" s="15">
        <v>850.099976</v>
      </c>
      <c r="C105" s="15">
        <v>866.960022</v>
      </c>
      <c r="D105" s="15">
        <v>806.75</v>
      </c>
      <c r="E105" s="15">
        <v>826.030029</v>
      </c>
      <c r="F105" s="15">
        <v>812.190674</v>
      </c>
      <c r="G105" s="15">
        <v>2.6793965E7</v>
      </c>
      <c r="H105" s="19">
        <f t="shared" si="1"/>
        <v>-0.01416636193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>
        <v>44497.0</v>
      </c>
      <c r="B106" s="15">
        <v>817.0</v>
      </c>
      <c r="C106" s="15">
        <v>983.0</v>
      </c>
      <c r="D106" s="15">
        <v>810.0</v>
      </c>
      <c r="E106" s="15">
        <v>913.5</v>
      </c>
      <c r="F106" s="15">
        <v>898.195068</v>
      </c>
      <c r="G106" s="15">
        <v>5.9298778E7</v>
      </c>
      <c r="H106" s="19">
        <f t="shared" si="1"/>
        <v>0.105891999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>
        <v>44498.0</v>
      </c>
      <c r="B107" s="15">
        <v>822.150024</v>
      </c>
      <c r="C107" s="15">
        <v>906.450012</v>
      </c>
      <c r="D107" s="15">
        <v>639.450012</v>
      </c>
      <c r="E107" s="15">
        <v>845.700012</v>
      </c>
      <c r="F107" s="15">
        <v>831.531067</v>
      </c>
      <c r="G107" s="15">
        <v>8.284803E7</v>
      </c>
      <c r="H107" s="19">
        <f t="shared" si="1"/>
        <v>-0.0742200197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>
        <v>44501.0</v>
      </c>
      <c r="B108" s="15">
        <v>874.200012</v>
      </c>
      <c r="C108" s="15">
        <v>885.0</v>
      </c>
      <c r="D108" s="15">
        <v>809.25</v>
      </c>
      <c r="E108" s="15">
        <v>855.450012</v>
      </c>
      <c r="F108" s="15">
        <v>841.117737</v>
      </c>
      <c r="G108" s="15">
        <v>2.9989312E7</v>
      </c>
      <c r="H108" s="19">
        <f t="shared" si="1"/>
        <v>0.0115289108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>
        <v>44502.0</v>
      </c>
      <c r="B109" s="15">
        <v>868.400024</v>
      </c>
      <c r="C109" s="15">
        <v>868.799988</v>
      </c>
      <c r="D109" s="15">
        <v>844.25</v>
      </c>
      <c r="E109" s="15">
        <v>848.200012</v>
      </c>
      <c r="F109" s="15">
        <v>833.989197</v>
      </c>
      <c r="G109" s="15">
        <v>9742650.0</v>
      </c>
      <c r="H109" s="19">
        <f t="shared" si="1"/>
        <v>-0.008475071481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>
        <v>44503.0</v>
      </c>
      <c r="B110" s="15">
        <v>840.0</v>
      </c>
      <c r="C110" s="15">
        <v>848.900024</v>
      </c>
      <c r="D110" s="15">
        <v>815.099976</v>
      </c>
      <c r="E110" s="15">
        <v>819.849976</v>
      </c>
      <c r="F110" s="15">
        <v>806.114136</v>
      </c>
      <c r="G110" s="15">
        <v>1.0088006E7</v>
      </c>
      <c r="H110" s="19">
        <f t="shared" si="1"/>
        <v>-0.03342376279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>
        <v>44504.0</v>
      </c>
      <c r="B111" s="15">
        <v>828.25</v>
      </c>
      <c r="C111" s="15">
        <v>828.25</v>
      </c>
      <c r="D111" s="15">
        <v>820.0</v>
      </c>
      <c r="E111" s="15">
        <v>822.25</v>
      </c>
      <c r="F111" s="15">
        <v>808.473938</v>
      </c>
      <c r="G111" s="15">
        <v>2229843.0</v>
      </c>
      <c r="H111" s="19">
        <f t="shared" si="1"/>
        <v>0.002927394121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>
        <v>44508.0</v>
      </c>
      <c r="B112" s="15">
        <v>819.0</v>
      </c>
      <c r="C112" s="15">
        <v>840.0</v>
      </c>
      <c r="D112" s="15">
        <v>779.849976</v>
      </c>
      <c r="E112" s="15">
        <v>832.849976</v>
      </c>
      <c r="F112" s="15">
        <v>818.896301</v>
      </c>
      <c r="G112" s="15">
        <v>1.1974709E7</v>
      </c>
      <c r="H112" s="19">
        <f t="shared" si="1"/>
        <v>0.01289142718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>
        <v>44509.0</v>
      </c>
      <c r="B113" s="15">
        <v>835.0</v>
      </c>
      <c r="C113" s="15">
        <v>858.0</v>
      </c>
      <c r="D113" s="15">
        <v>834.0</v>
      </c>
      <c r="E113" s="15">
        <v>856.0</v>
      </c>
      <c r="F113" s="15">
        <v>841.658508</v>
      </c>
      <c r="G113" s="15">
        <v>9656004.0</v>
      </c>
      <c r="H113" s="19">
        <f t="shared" si="1"/>
        <v>0.02779615137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>
        <v>44510.0</v>
      </c>
      <c r="B114" s="15">
        <v>856.0</v>
      </c>
      <c r="C114" s="15">
        <v>866.0</v>
      </c>
      <c r="D114" s="15">
        <v>847.0</v>
      </c>
      <c r="E114" s="15">
        <v>849.849976</v>
      </c>
      <c r="F114" s="15">
        <v>835.611511</v>
      </c>
      <c r="G114" s="15">
        <v>6275409.0</v>
      </c>
      <c r="H114" s="19">
        <f t="shared" si="1"/>
        <v>-0.007184607477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>
        <v>44511.0</v>
      </c>
      <c r="B115" s="15">
        <v>849.0</v>
      </c>
      <c r="C115" s="15">
        <v>856.0</v>
      </c>
      <c r="D115" s="15">
        <v>835.0</v>
      </c>
      <c r="E115" s="15">
        <v>847.299988</v>
      </c>
      <c r="F115" s="15">
        <v>833.104126</v>
      </c>
      <c r="G115" s="15">
        <v>4924717.0</v>
      </c>
      <c r="H115" s="19">
        <f t="shared" si="1"/>
        <v>-0.00300051547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>
        <v>44512.0</v>
      </c>
      <c r="B116" s="15">
        <v>853.0</v>
      </c>
      <c r="C116" s="15">
        <v>876.0</v>
      </c>
      <c r="D116" s="15">
        <v>847.0</v>
      </c>
      <c r="E116" s="15">
        <v>864.849976</v>
      </c>
      <c r="F116" s="15">
        <v>850.360168</v>
      </c>
      <c r="G116" s="15">
        <v>9255302.0</v>
      </c>
      <c r="H116" s="19">
        <f t="shared" si="1"/>
        <v>0.02071283872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>
        <v>44515.0</v>
      </c>
      <c r="B117" s="15">
        <v>877.950012</v>
      </c>
      <c r="C117" s="15">
        <v>923.0</v>
      </c>
      <c r="D117" s="15">
        <v>869.0</v>
      </c>
      <c r="E117" s="15">
        <v>903.400024</v>
      </c>
      <c r="F117" s="15">
        <v>888.264343</v>
      </c>
      <c r="G117" s="15">
        <v>2.1402501E7</v>
      </c>
      <c r="H117" s="19">
        <f t="shared" si="1"/>
        <v>0.04457426036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>
        <v>44516.0</v>
      </c>
      <c r="B118" s="15">
        <v>915.799988</v>
      </c>
      <c r="C118" s="15">
        <v>929.0</v>
      </c>
      <c r="D118" s="15">
        <v>911.349976</v>
      </c>
      <c r="E118" s="15">
        <v>921.049988</v>
      </c>
      <c r="F118" s="15">
        <v>905.618591</v>
      </c>
      <c r="G118" s="15">
        <v>9298944.0</v>
      </c>
      <c r="H118" s="19">
        <f t="shared" si="1"/>
        <v>0.01953726315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>
        <v>44517.0</v>
      </c>
      <c r="B119" s="15">
        <v>925.0</v>
      </c>
      <c r="C119" s="15">
        <v>928.700012</v>
      </c>
      <c r="D119" s="15">
        <v>900.099976</v>
      </c>
      <c r="E119" s="15">
        <v>903.599976</v>
      </c>
      <c r="F119" s="15">
        <v>888.460938</v>
      </c>
      <c r="G119" s="15">
        <v>7189458.0</v>
      </c>
      <c r="H119" s="19">
        <f t="shared" si="1"/>
        <v>-0.01894578169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>
        <v>44518.0</v>
      </c>
      <c r="B120" s="15">
        <v>903.5</v>
      </c>
      <c r="C120" s="15">
        <v>905.900024</v>
      </c>
      <c r="D120" s="15">
        <v>871.099976</v>
      </c>
      <c r="E120" s="15">
        <v>890.650024</v>
      </c>
      <c r="F120" s="15">
        <v>875.727966</v>
      </c>
      <c r="G120" s="15">
        <v>7714073.0</v>
      </c>
      <c r="H120" s="19">
        <f t="shared" si="1"/>
        <v>-0.0143315099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>
        <v>44522.0</v>
      </c>
      <c r="B121" s="15">
        <v>912.0</v>
      </c>
      <c r="C121" s="15">
        <v>919.700012</v>
      </c>
      <c r="D121" s="15">
        <v>872.349976</v>
      </c>
      <c r="E121" s="15">
        <v>886.75</v>
      </c>
      <c r="F121" s="15">
        <v>871.89325</v>
      </c>
      <c r="G121" s="15">
        <v>1.1376478E7</v>
      </c>
      <c r="H121" s="19">
        <f t="shared" si="1"/>
        <v>-0.004378851283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>
        <v>44523.0</v>
      </c>
      <c r="B122" s="15">
        <v>877.0</v>
      </c>
      <c r="C122" s="15">
        <v>897.599976</v>
      </c>
      <c r="D122" s="15">
        <v>872.599976</v>
      </c>
      <c r="E122" s="15">
        <v>892.799988</v>
      </c>
      <c r="F122" s="15">
        <v>877.841919</v>
      </c>
      <c r="G122" s="15">
        <v>6078636.0</v>
      </c>
      <c r="H122" s="19">
        <f t="shared" si="1"/>
        <v>0.00682265351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>
        <v>44524.0</v>
      </c>
      <c r="B123" s="15">
        <v>898.0</v>
      </c>
      <c r="C123" s="15">
        <v>901.700012</v>
      </c>
      <c r="D123" s="15">
        <v>853.099976</v>
      </c>
      <c r="E123" s="15">
        <v>862.799988</v>
      </c>
      <c r="F123" s="15">
        <v>848.344604</v>
      </c>
      <c r="G123" s="15">
        <v>7679846.0</v>
      </c>
      <c r="H123" s="19">
        <f t="shared" si="1"/>
        <v>-0.03360215099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>
        <v>44525.0</v>
      </c>
      <c r="B124" s="15">
        <v>863.0</v>
      </c>
      <c r="C124" s="15">
        <v>874.5</v>
      </c>
      <c r="D124" s="15">
        <v>835.650024</v>
      </c>
      <c r="E124" s="15">
        <v>865.549988</v>
      </c>
      <c r="F124" s="15">
        <v>851.048462</v>
      </c>
      <c r="G124" s="15">
        <v>9169669.0</v>
      </c>
      <c r="H124" s="19">
        <f t="shared" si="1"/>
        <v>0.003187297216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>
        <v>44526.0</v>
      </c>
      <c r="B125" s="15">
        <v>849.0</v>
      </c>
      <c r="C125" s="15">
        <v>854.950012</v>
      </c>
      <c r="D125" s="15">
        <v>820.0</v>
      </c>
      <c r="E125" s="15">
        <v>823.049988</v>
      </c>
      <c r="F125" s="15">
        <v>809.260498</v>
      </c>
      <c r="G125" s="15">
        <v>1.0211011E7</v>
      </c>
      <c r="H125" s="19">
        <f t="shared" si="1"/>
        <v>-0.04910172791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>
        <v>44529.0</v>
      </c>
      <c r="B126" s="15">
        <v>786.0</v>
      </c>
      <c r="C126" s="15">
        <v>801.0</v>
      </c>
      <c r="D126" s="15">
        <v>750.549988</v>
      </c>
      <c r="E126" s="15">
        <v>775.799988</v>
      </c>
      <c r="F126" s="15">
        <v>762.802185</v>
      </c>
      <c r="G126" s="15">
        <v>1.3888743E7</v>
      </c>
      <c r="H126" s="19">
        <f t="shared" si="1"/>
        <v>-0.05740842074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>
        <v>44530.0</v>
      </c>
      <c r="B127" s="15">
        <v>790.299988</v>
      </c>
      <c r="C127" s="15">
        <v>819.900024</v>
      </c>
      <c r="D127" s="15">
        <v>787.599976</v>
      </c>
      <c r="E127" s="15">
        <v>795.150024</v>
      </c>
      <c r="F127" s="15">
        <v>781.828003</v>
      </c>
      <c r="G127" s="15">
        <v>3.7176726E7</v>
      </c>
      <c r="H127" s="19">
        <f t="shared" si="1"/>
        <v>0.02494204215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>
        <v>44531.0</v>
      </c>
      <c r="B128" s="15">
        <v>809.0</v>
      </c>
      <c r="C128" s="15">
        <v>817.0</v>
      </c>
      <c r="D128" s="15">
        <v>796.349976</v>
      </c>
      <c r="E128" s="15">
        <v>811.950012</v>
      </c>
      <c r="F128" s="15">
        <v>798.346497</v>
      </c>
      <c r="G128" s="15">
        <v>6448797.0</v>
      </c>
      <c r="H128" s="19">
        <f t="shared" si="1"/>
        <v>0.02112807331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>
        <v>44532.0</v>
      </c>
      <c r="B129" s="15">
        <v>815.25</v>
      </c>
      <c r="C129" s="15">
        <v>825.0</v>
      </c>
      <c r="D129" s="15">
        <v>803.0</v>
      </c>
      <c r="E129" s="15">
        <v>821.25</v>
      </c>
      <c r="F129" s="15">
        <v>807.490723</v>
      </c>
      <c r="G129" s="15">
        <v>4869021.0</v>
      </c>
      <c r="H129" s="19">
        <f t="shared" si="1"/>
        <v>0.01145389231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>
        <v>44533.0</v>
      </c>
      <c r="B130" s="15">
        <v>819.0</v>
      </c>
      <c r="C130" s="15">
        <v>831.450012</v>
      </c>
      <c r="D130" s="15">
        <v>810.0</v>
      </c>
      <c r="E130" s="15">
        <v>819.900024</v>
      </c>
      <c r="F130" s="15">
        <v>806.16333</v>
      </c>
      <c r="G130" s="15">
        <v>4777395.0</v>
      </c>
      <c r="H130" s="19">
        <f t="shared" si="1"/>
        <v>-0.001643806393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>
        <v>44536.0</v>
      </c>
      <c r="B131" s="15">
        <v>815.0</v>
      </c>
      <c r="C131" s="15">
        <v>819.5</v>
      </c>
      <c r="D131" s="15">
        <v>798.200012</v>
      </c>
      <c r="E131" s="15">
        <v>801.400024</v>
      </c>
      <c r="F131" s="15">
        <v>787.973267</v>
      </c>
      <c r="G131" s="15">
        <v>4473930.0</v>
      </c>
      <c r="H131" s="19">
        <f t="shared" si="1"/>
        <v>-0.02256372662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>
        <v>44537.0</v>
      </c>
      <c r="B132" s="15">
        <v>809.950012</v>
      </c>
      <c r="C132" s="15">
        <v>829.799988</v>
      </c>
      <c r="D132" s="15">
        <v>807.0</v>
      </c>
      <c r="E132" s="15">
        <v>823.049988</v>
      </c>
      <c r="F132" s="15">
        <v>809.260498</v>
      </c>
      <c r="G132" s="15">
        <v>4528051.0</v>
      </c>
      <c r="H132" s="19">
        <f t="shared" si="1"/>
        <v>0.02701517763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>
        <v>44538.0</v>
      </c>
      <c r="B133" s="15">
        <v>830.5</v>
      </c>
      <c r="C133" s="15">
        <v>856.700012</v>
      </c>
      <c r="D133" s="15">
        <v>829.049988</v>
      </c>
      <c r="E133" s="15">
        <v>851.400024</v>
      </c>
      <c r="F133" s="15">
        <v>837.135559</v>
      </c>
      <c r="G133" s="15">
        <v>7190775.0</v>
      </c>
      <c r="H133" s="19">
        <f t="shared" si="1"/>
        <v>0.03444509618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>
        <v>44539.0</v>
      </c>
      <c r="B134" s="15">
        <v>856.0</v>
      </c>
      <c r="C134" s="15">
        <v>863.0</v>
      </c>
      <c r="D134" s="15">
        <v>841.549988</v>
      </c>
      <c r="E134" s="15">
        <v>856.849976</v>
      </c>
      <c r="F134" s="15">
        <v>842.494263</v>
      </c>
      <c r="G134" s="15">
        <v>5118754.0</v>
      </c>
      <c r="H134" s="19">
        <f t="shared" si="1"/>
        <v>0.006401164959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>
        <v>44540.0</v>
      </c>
      <c r="B135" s="15">
        <v>851.0</v>
      </c>
      <c r="C135" s="15">
        <v>869.950012</v>
      </c>
      <c r="D135" s="15">
        <v>850.0</v>
      </c>
      <c r="E135" s="15">
        <v>857.950012</v>
      </c>
      <c r="F135" s="15">
        <v>843.575806</v>
      </c>
      <c r="G135" s="15">
        <v>4358630.0</v>
      </c>
      <c r="H135" s="19">
        <f t="shared" si="1"/>
        <v>0.001283814006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>
        <v>44543.0</v>
      </c>
      <c r="B136" s="15">
        <v>862.5</v>
      </c>
      <c r="C136" s="15">
        <v>878.200012</v>
      </c>
      <c r="D136" s="15">
        <v>856.25</v>
      </c>
      <c r="E136" s="15">
        <v>858.700012</v>
      </c>
      <c r="F136" s="15">
        <v>844.313293</v>
      </c>
      <c r="G136" s="15">
        <v>4485978.0</v>
      </c>
      <c r="H136" s="19">
        <f t="shared" si="1"/>
        <v>0.0008741768046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>
        <v>44544.0</v>
      </c>
      <c r="B137" s="15">
        <v>860.0</v>
      </c>
      <c r="C137" s="15">
        <v>860.0</v>
      </c>
      <c r="D137" s="15">
        <v>843.0</v>
      </c>
      <c r="E137" s="15">
        <v>855.049988</v>
      </c>
      <c r="F137" s="15">
        <v>840.724365</v>
      </c>
      <c r="G137" s="15">
        <v>3374432.0</v>
      </c>
      <c r="H137" s="19">
        <f t="shared" si="1"/>
        <v>-0.004250639279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>
        <v>44545.0</v>
      </c>
      <c r="B138" s="15">
        <v>851.200012</v>
      </c>
      <c r="C138" s="15">
        <v>867.400024</v>
      </c>
      <c r="D138" s="15">
        <v>848.0</v>
      </c>
      <c r="E138" s="15">
        <v>851.200012</v>
      </c>
      <c r="F138" s="15">
        <v>836.938904</v>
      </c>
      <c r="G138" s="15">
        <v>2762485.0</v>
      </c>
      <c r="H138" s="19">
        <f t="shared" si="1"/>
        <v>-0.004502632658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>
        <v>44546.0</v>
      </c>
      <c r="B139" s="15">
        <v>857.049988</v>
      </c>
      <c r="C139" s="15">
        <v>860.799988</v>
      </c>
      <c r="D139" s="15">
        <v>841.349976</v>
      </c>
      <c r="E139" s="15">
        <v>852.150024</v>
      </c>
      <c r="F139" s="15">
        <v>837.872986</v>
      </c>
      <c r="G139" s="15">
        <v>2918474.0</v>
      </c>
      <c r="H139" s="19">
        <f t="shared" si="1"/>
        <v>0.001116085511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>
        <v>44547.0</v>
      </c>
      <c r="B140" s="15">
        <v>850.0</v>
      </c>
      <c r="C140" s="15">
        <v>851.900024</v>
      </c>
      <c r="D140" s="15">
        <v>825.450012</v>
      </c>
      <c r="E140" s="15">
        <v>832.400024</v>
      </c>
      <c r="F140" s="15">
        <v>818.453918</v>
      </c>
      <c r="G140" s="15">
        <v>4227183.0</v>
      </c>
      <c r="H140" s="19">
        <f t="shared" si="1"/>
        <v>-0.02317667012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>
        <v>44550.0</v>
      </c>
      <c r="B141" s="15">
        <v>807.0</v>
      </c>
      <c r="C141" s="15">
        <v>825.700012</v>
      </c>
      <c r="D141" s="15">
        <v>780.700012</v>
      </c>
      <c r="E141" s="15">
        <v>794.099976</v>
      </c>
      <c r="F141" s="15">
        <v>780.795532</v>
      </c>
      <c r="G141" s="15">
        <v>7418777.0</v>
      </c>
      <c r="H141" s="19">
        <f t="shared" si="1"/>
        <v>-0.04601158925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>
        <v>44551.0</v>
      </c>
      <c r="B142" s="15">
        <v>805.0</v>
      </c>
      <c r="C142" s="15">
        <v>818.849976</v>
      </c>
      <c r="D142" s="15">
        <v>800.0</v>
      </c>
      <c r="E142" s="15">
        <v>814.75</v>
      </c>
      <c r="F142" s="15">
        <v>801.099609</v>
      </c>
      <c r="G142" s="15">
        <v>3613582.0</v>
      </c>
      <c r="H142" s="19">
        <f t="shared" si="1"/>
        <v>0.02600431259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>
        <v>44552.0</v>
      </c>
      <c r="B143" s="15">
        <v>820.0</v>
      </c>
      <c r="C143" s="15">
        <v>842.599976</v>
      </c>
      <c r="D143" s="15">
        <v>819.0</v>
      </c>
      <c r="E143" s="15">
        <v>839.75</v>
      </c>
      <c r="F143" s="15">
        <v>825.680664</v>
      </c>
      <c r="G143" s="15">
        <v>3721795.0</v>
      </c>
      <c r="H143" s="19">
        <f t="shared" si="1"/>
        <v>0.03068425898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>
        <v>44553.0</v>
      </c>
      <c r="B144" s="15">
        <v>846.700012</v>
      </c>
      <c r="C144" s="15">
        <v>847.349976</v>
      </c>
      <c r="D144" s="15">
        <v>834.200012</v>
      </c>
      <c r="E144" s="15">
        <v>841.349976</v>
      </c>
      <c r="F144" s="15">
        <v>827.253906</v>
      </c>
      <c r="G144" s="15">
        <v>2917612.0</v>
      </c>
      <c r="H144" s="19">
        <f t="shared" si="1"/>
        <v>0.001905300387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>
        <v>44554.0</v>
      </c>
      <c r="B145" s="15">
        <v>841.0</v>
      </c>
      <c r="C145" s="15">
        <v>842.799988</v>
      </c>
      <c r="D145" s="15">
        <v>828.5</v>
      </c>
      <c r="E145" s="15">
        <v>837.200012</v>
      </c>
      <c r="F145" s="15">
        <v>823.173462</v>
      </c>
      <c r="G145" s="15">
        <v>2502607.0</v>
      </c>
      <c r="H145" s="19">
        <f t="shared" si="1"/>
        <v>-0.004932506232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>
        <v>44557.0</v>
      </c>
      <c r="B146" s="15">
        <v>823.0</v>
      </c>
      <c r="C146" s="15">
        <v>840.0</v>
      </c>
      <c r="D146" s="15">
        <v>823.0</v>
      </c>
      <c r="E146" s="15">
        <v>839.0</v>
      </c>
      <c r="F146" s="15">
        <v>824.943237</v>
      </c>
      <c r="G146" s="15">
        <v>2640676.0</v>
      </c>
      <c r="H146" s="19">
        <f t="shared" si="1"/>
        <v>0.002150009525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>
        <v>44558.0</v>
      </c>
      <c r="B147" s="15">
        <v>840.700012</v>
      </c>
      <c r="C147" s="15">
        <v>876.599976</v>
      </c>
      <c r="D147" s="15">
        <v>840.549988</v>
      </c>
      <c r="E147" s="15">
        <v>863.5</v>
      </c>
      <c r="F147" s="15">
        <v>849.032776</v>
      </c>
      <c r="G147" s="15">
        <v>8220616.0</v>
      </c>
      <c r="H147" s="19">
        <f t="shared" si="1"/>
        <v>0.02920143027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>
        <v>44559.0</v>
      </c>
      <c r="B148" s="15">
        <v>859.450012</v>
      </c>
      <c r="C148" s="15">
        <v>864.0</v>
      </c>
      <c r="D148" s="15">
        <v>847.0</v>
      </c>
      <c r="E148" s="15">
        <v>849.349976</v>
      </c>
      <c r="F148" s="15">
        <v>835.119873</v>
      </c>
      <c r="G148" s="15">
        <v>3670117.0</v>
      </c>
      <c r="H148" s="19">
        <f t="shared" si="1"/>
        <v>-0.01638682571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>
        <v>44560.0</v>
      </c>
      <c r="B149" s="15">
        <v>846.700012</v>
      </c>
      <c r="C149" s="15">
        <v>847.799988</v>
      </c>
      <c r="D149" s="15">
        <v>831.099976</v>
      </c>
      <c r="E149" s="15">
        <v>833.0</v>
      </c>
      <c r="F149" s="15">
        <v>819.043884</v>
      </c>
      <c r="G149" s="15">
        <v>3488161.0</v>
      </c>
      <c r="H149" s="19">
        <f t="shared" si="1"/>
        <v>-0.019249987</v>
      </c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>
        <v>44561.0</v>
      </c>
      <c r="B150" s="15">
        <v>834.900024</v>
      </c>
      <c r="C150" s="15">
        <v>840.0</v>
      </c>
      <c r="D150" s="15">
        <v>829.150024</v>
      </c>
      <c r="E150" s="15">
        <v>831.75</v>
      </c>
      <c r="F150" s="15">
        <v>817.814758</v>
      </c>
      <c r="G150" s="15">
        <v>2712460.0</v>
      </c>
      <c r="H150" s="19">
        <f t="shared" si="1"/>
        <v>-0.00150060024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>
        <v>44564.0</v>
      </c>
      <c r="B151" s="15">
        <v>831.900024</v>
      </c>
      <c r="C151" s="15">
        <v>850.0</v>
      </c>
      <c r="D151" s="15">
        <v>830.349976</v>
      </c>
      <c r="E151" s="15">
        <v>845.650024</v>
      </c>
      <c r="F151" s="15">
        <v>831.481934</v>
      </c>
      <c r="G151" s="15">
        <v>3501695.0</v>
      </c>
      <c r="H151" s="19">
        <f t="shared" si="1"/>
        <v>0.01671178118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>
        <v>44565.0</v>
      </c>
      <c r="B152" s="15">
        <v>850.0</v>
      </c>
      <c r="C152" s="15">
        <v>853.700012</v>
      </c>
      <c r="D152" s="15">
        <v>843.299988</v>
      </c>
      <c r="E152" s="15">
        <v>848.049988</v>
      </c>
      <c r="F152" s="15">
        <v>833.841614</v>
      </c>
      <c r="G152" s="15">
        <v>2496924.0</v>
      </c>
      <c r="H152" s="19">
        <f t="shared" si="1"/>
        <v>0.002838010917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>
        <v>44566.0</v>
      </c>
      <c r="B153" s="15">
        <v>845.0</v>
      </c>
      <c r="C153" s="15">
        <v>847.099976</v>
      </c>
      <c r="D153" s="15">
        <v>828.0</v>
      </c>
      <c r="E153" s="15">
        <v>840.599976</v>
      </c>
      <c r="F153" s="15">
        <v>826.516418</v>
      </c>
      <c r="G153" s="15">
        <v>3312721.0</v>
      </c>
      <c r="H153" s="19">
        <f t="shared" si="1"/>
        <v>-0.008784873658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>
        <v>44567.0</v>
      </c>
      <c r="B154" s="15">
        <v>825.0</v>
      </c>
      <c r="C154" s="15">
        <v>847.900024</v>
      </c>
      <c r="D154" s="15">
        <v>825.0</v>
      </c>
      <c r="E154" s="15">
        <v>843.25</v>
      </c>
      <c r="F154" s="15">
        <v>829.12207</v>
      </c>
      <c r="G154" s="15">
        <v>2842824.0</v>
      </c>
      <c r="H154" s="19">
        <f t="shared" si="1"/>
        <v>0.003152538753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>
        <v>44568.0</v>
      </c>
      <c r="B155" s="15">
        <v>843.25</v>
      </c>
      <c r="C155" s="15">
        <v>888.0</v>
      </c>
      <c r="D155" s="15">
        <v>842.450012</v>
      </c>
      <c r="E155" s="15">
        <v>860.950012</v>
      </c>
      <c r="F155" s="15">
        <v>846.525574</v>
      </c>
      <c r="G155" s="15">
        <v>1.2254034E7</v>
      </c>
      <c r="H155" s="19">
        <f t="shared" si="1"/>
        <v>0.02099023066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>
        <v>44571.0</v>
      </c>
      <c r="B156" s="15">
        <v>862.5</v>
      </c>
      <c r="C156" s="15">
        <v>878.75</v>
      </c>
      <c r="D156" s="15">
        <v>862.5</v>
      </c>
      <c r="E156" s="15">
        <v>873.450012</v>
      </c>
      <c r="F156" s="15">
        <v>858.816101</v>
      </c>
      <c r="G156" s="15">
        <v>4778546.0</v>
      </c>
      <c r="H156" s="19">
        <f t="shared" si="1"/>
        <v>0.01451884526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>
        <v>44572.0</v>
      </c>
      <c r="B157" s="15">
        <v>875.0</v>
      </c>
      <c r="C157" s="15">
        <v>883.0</v>
      </c>
      <c r="D157" s="15">
        <v>859.150024</v>
      </c>
      <c r="E157" s="15">
        <v>862.400024</v>
      </c>
      <c r="F157" s="15">
        <v>847.951294</v>
      </c>
      <c r="G157" s="15">
        <v>3257687.0</v>
      </c>
      <c r="H157" s="19">
        <f t="shared" si="1"/>
        <v>-0.01265096783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>
        <v>44573.0</v>
      </c>
      <c r="B158" s="15">
        <v>868.799988</v>
      </c>
      <c r="C158" s="15">
        <v>869.400024</v>
      </c>
      <c r="D158" s="15">
        <v>848.25</v>
      </c>
      <c r="E158" s="15">
        <v>861.25</v>
      </c>
      <c r="F158" s="15">
        <v>846.820496</v>
      </c>
      <c r="G158" s="15">
        <v>3419540.0</v>
      </c>
      <c r="H158" s="19">
        <f t="shared" si="1"/>
        <v>-0.001333515733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>
        <v>44574.0</v>
      </c>
      <c r="B159" s="15">
        <v>861.25</v>
      </c>
      <c r="C159" s="15">
        <v>874.0</v>
      </c>
      <c r="D159" s="15">
        <v>853.049988</v>
      </c>
      <c r="E159" s="15">
        <v>868.150024</v>
      </c>
      <c r="F159" s="15">
        <v>853.605042</v>
      </c>
      <c r="G159" s="15">
        <v>3384510.0</v>
      </c>
      <c r="H159" s="19">
        <f t="shared" si="1"/>
        <v>0.008011638897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>
        <v>44575.0</v>
      </c>
      <c r="B160" s="15">
        <v>863.900024</v>
      </c>
      <c r="C160" s="15">
        <v>908.0</v>
      </c>
      <c r="D160" s="15">
        <v>856.700012</v>
      </c>
      <c r="E160" s="15">
        <v>902.700012</v>
      </c>
      <c r="F160" s="15">
        <v>887.576111</v>
      </c>
      <c r="G160" s="15">
        <v>1.4072932E7</v>
      </c>
      <c r="H160" s="19">
        <f t="shared" si="1"/>
        <v>0.03979725513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>
        <v>44578.0</v>
      </c>
      <c r="B161" s="15">
        <v>910.0</v>
      </c>
      <c r="C161" s="15">
        <v>918.650024</v>
      </c>
      <c r="D161" s="15">
        <v>891.25</v>
      </c>
      <c r="E161" s="15">
        <v>897.349976</v>
      </c>
      <c r="F161" s="15">
        <v>882.315674</v>
      </c>
      <c r="G161" s="15">
        <v>6834869.0</v>
      </c>
      <c r="H161" s="19">
        <f t="shared" si="1"/>
        <v>-0.005926704253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>
        <v>44579.0</v>
      </c>
      <c r="B162" s="15">
        <v>899.900024</v>
      </c>
      <c r="C162" s="15">
        <v>904.200012</v>
      </c>
      <c r="D162" s="15">
        <v>855.900024</v>
      </c>
      <c r="E162" s="15">
        <v>861.099976</v>
      </c>
      <c r="F162" s="15">
        <v>846.673035</v>
      </c>
      <c r="G162" s="15">
        <v>5857768.0</v>
      </c>
      <c r="H162" s="19">
        <f t="shared" si="1"/>
        <v>-0.04039672477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>
        <v>44580.0</v>
      </c>
      <c r="B163" s="15">
        <v>863.5</v>
      </c>
      <c r="C163" s="15">
        <v>877.950012</v>
      </c>
      <c r="D163" s="15">
        <v>850.299988</v>
      </c>
      <c r="E163" s="15">
        <v>875.950012</v>
      </c>
      <c r="F163" s="15">
        <v>861.274231</v>
      </c>
      <c r="G163" s="15">
        <v>4437914.0</v>
      </c>
      <c r="H163" s="19">
        <f t="shared" si="1"/>
        <v>0.0172454261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>
        <v>44581.0</v>
      </c>
      <c r="B164" s="15">
        <v>875.75</v>
      </c>
      <c r="C164" s="15">
        <v>885.0</v>
      </c>
      <c r="D164" s="15">
        <v>865.650024</v>
      </c>
      <c r="E164" s="15">
        <v>880.400024</v>
      </c>
      <c r="F164" s="15">
        <v>865.649719</v>
      </c>
      <c r="G164" s="15">
        <v>3262969.0</v>
      </c>
      <c r="H164" s="19">
        <f t="shared" si="1"/>
        <v>0.005080212271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>
        <v>44582.0</v>
      </c>
      <c r="B165" s="15">
        <v>873.0</v>
      </c>
      <c r="C165" s="15">
        <v>881.0</v>
      </c>
      <c r="D165" s="15">
        <v>855.0</v>
      </c>
      <c r="E165" s="15">
        <v>861.700012</v>
      </c>
      <c r="F165" s="15">
        <v>847.262939</v>
      </c>
      <c r="G165" s="15">
        <v>3915909.0</v>
      </c>
      <c r="H165" s="19">
        <f t="shared" si="1"/>
        <v>-0.02124035835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>
        <v>44585.0</v>
      </c>
      <c r="B166" s="15">
        <v>859.5</v>
      </c>
      <c r="C166" s="15">
        <v>860.150024</v>
      </c>
      <c r="D166" s="15">
        <v>805.0</v>
      </c>
      <c r="E166" s="15">
        <v>809.799988</v>
      </c>
      <c r="F166" s="15">
        <v>796.232483</v>
      </c>
      <c r="G166" s="15">
        <v>7654105.0</v>
      </c>
      <c r="H166" s="19">
        <f t="shared" si="1"/>
        <v>-0.06022980536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>
        <v>44586.0</v>
      </c>
      <c r="B167" s="15">
        <v>809.0</v>
      </c>
      <c r="C167" s="15">
        <v>833.0</v>
      </c>
      <c r="D167" s="15">
        <v>784.799988</v>
      </c>
      <c r="E167" s="15">
        <v>829.900024</v>
      </c>
      <c r="F167" s="15">
        <v>815.995789</v>
      </c>
      <c r="G167" s="15">
        <v>5090144.0</v>
      </c>
      <c r="H167" s="19">
        <f t="shared" si="1"/>
        <v>0.02482098827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>
        <v>44588.0</v>
      </c>
      <c r="B168" s="15">
        <v>818.599976</v>
      </c>
      <c r="C168" s="15">
        <v>824.400024</v>
      </c>
      <c r="D168" s="15">
        <v>803.0</v>
      </c>
      <c r="E168" s="15">
        <v>813.799988</v>
      </c>
      <c r="F168" s="15">
        <v>800.165466</v>
      </c>
      <c r="G168" s="15">
        <v>4740612.0</v>
      </c>
      <c r="H168" s="19">
        <f t="shared" si="1"/>
        <v>-0.01939997052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>
        <v>44589.0</v>
      </c>
      <c r="B169" s="15">
        <v>825.75</v>
      </c>
      <c r="C169" s="15">
        <v>860.0</v>
      </c>
      <c r="D169" s="15">
        <v>817.0</v>
      </c>
      <c r="E169" s="15">
        <v>844.599976</v>
      </c>
      <c r="F169" s="15">
        <v>830.449463</v>
      </c>
      <c r="G169" s="15">
        <v>5541007.0</v>
      </c>
      <c r="H169" s="19">
        <f t="shared" si="1"/>
        <v>0.0378471227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>
        <v>44592.0</v>
      </c>
      <c r="B170" s="15">
        <v>855.0</v>
      </c>
      <c r="C170" s="15">
        <v>880.950012</v>
      </c>
      <c r="D170" s="15">
        <v>849.599976</v>
      </c>
      <c r="E170" s="15">
        <v>868.0</v>
      </c>
      <c r="F170" s="15">
        <v>853.457458</v>
      </c>
      <c r="G170" s="15">
        <v>4650001.0</v>
      </c>
      <c r="H170" s="19">
        <f t="shared" si="1"/>
        <v>0.02770545189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>
        <v>44593.0</v>
      </c>
      <c r="B171" s="15">
        <v>894.599976</v>
      </c>
      <c r="C171" s="15">
        <v>899.900024</v>
      </c>
      <c r="D171" s="15">
        <v>848.599976</v>
      </c>
      <c r="E171" s="15">
        <v>856.900024</v>
      </c>
      <c r="F171" s="15">
        <v>842.543457</v>
      </c>
      <c r="G171" s="15">
        <v>1.1012459E7</v>
      </c>
      <c r="H171" s="19">
        <f t="shared" si="1"/>
        <v>-0.01278799078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>
        <v>44594.0</v>
      </c>
      <c r="B172" s="15">
        <v>863.0</v>
      </c>
      <c r="C172" s="15">
        <v>868.0</v>
      </c>
      <c r="D172" s="15">
        <v>857.0</v>
      </c>
      <c r="E172" s="15">
        <v>860.900024</v>
      </c>
      <c r="F172" s="15">
        <v>846.476379</v>
      </c>
      <c r="G172" s="15">
        <v>2531086.0</v>
      </c>
      <c r="H172" s="19">
        <f t="shared" si="1"/>
        <v>0.004667989133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>
        <v>44595.0</v>
      </c>
      <c r="B173" s="15">
        <v>860.5</v>
      </c>
      <c r="C173" s="15">
        <v>871.849976</v>
      </c>
      <c r="D173" s="15">
        <v>857.0</v>
      </c>
      <c r="E173" s="15">
        <v>860.650024</v>
      </c>
      <c r="F173" s="15">
        <v>846.23053</v>
      </c>
      <c r="G173" s="15">
        <v>2603770.0</v>
      </c>
      <c r="H173" s="19">
        <f t="shared" si="1"/>
        <v>-0.0002903937659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>
        <v>44596.0</v>
      </c>
      <c r="B174" s="15">
        <v>861.0</v>
      </c>
      <c r="C174" s="15">
        <v>865.5</v>
      </c>
      <c r="D174" s="15">
        <v>851.25</v>
      </c>
      <c r="E174" s="15">
        <v>855.75</v>
      </c>
      <c r="F174" s="15">
        <v>841.41272</v>
      </c>
      <c r="G174" s="15">
        <v>2105561.0</v>
      </c>
      <c r="H174" s="19">
        <f t="shared" si="1"/>
        <v>-0.005693399016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>
        <v>44599.0</v>
      </c>
      <c r="B175" s="15">
        <v>858.75</v>
      </c>
      <c r="C175" s="15">
        <v>868.549988</v>
      </c>
      <c r="D175" s="15">
        <v>830.0</v>
      </c>
      <c r="E175" s="15">
        <v>835.599976</v>
      </c>
      <c r="F175" s="15">
        <v>821.60022</v>
      </c>
      <c r="G175" s="15">
        <v>4119747.0</v>
      </c>
      <c r="H175" s="19">
        <f t="shared" si="1"/>
        <v>-0.0235466246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>
        <v>44600.0</v>
      </c>
      <c r="B176" s="15">
        <v>842.5</v>
      </c>
      <c r="C176" s="15">
        <v>848.599976</v>
      </c>
      <c r="D176" s="15">
        <v>821.5</v>
      </c>
      <c r="E176" s="15">
        <v>838.049988</v>
      </c>
      <c r="F176" s="15">
        <v>824.009155</v>
      </c>
      <c r="G176" s="15">
        <v>3851680.0</v>
      </c>
      <c r="H176" s="19">
        <f t="shared" si="1"/>
        <v>0.002932039337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>
        <v>44601.0</v>
      </c>
      <c r="B177" s="15">
        <v>859.0</v>
      </c>
      <c r="C177" s="15">
        <v>868.400024</v>
      </c>
      <c r="D177" s="15">
        <v>845.099976</v>
      </c>
      <c r="E177" s="15">
        <v>849.950012</v>
      </c>
      <c r="F177" s="15">
        <v>835.709778</v>
      </c>
      <c r="G177" s="15">
        <v>6791815.0</v>
      </c>
      <c r="H177" s="19">
        <f t="shared" si="1"/>
        <v>0.01419965893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>
        <v>44602.0</v>
      </c>
      <c r="B178" s="15">
        <v>855.0</v>
      </c>
      <c r="C178" s="15">
        <v>855.150024</v>
      </c>
      <c r="D178" s="15">
        <v>840.299988</v>
      </c>
      <c r="E178" s="15">
        <v>845.900024</v>
      </c>
      <c r="F178" s="15">
        <v>831.727783</v>
      </c>
      <c r="G178" s="15">
        <v>2569073.0</v>
      </c>
      <c r="H178" s="19">
        <f t="shared" si="1"/>
        <v>-0.00476497199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>
        <v>44603.0</v>
      </c>
      <c r="B179" s="15">
        <v>835.5</v>
      </c>
      <c r="C179" s="15">
        <v>841.950012</v>
      </c>
      <c r="D179" s="15">
        <v>825.0</v>
      </c>
      <c r="E179" s="15">
        <v>830.75</v>
      </c>
      <c r="F179" s="15">
        <v>816.831543</v>
      </c>
      <c r="G179" s="15">
        <v>2582020.0</v>
      </c>
      <c r="H179" s="19">
        <f t="shared" si="1"/>
        <v>-0.01790994629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>
        <v>44606.0</v>
      </c>
      <c r="B180" s="15">
        <v>819.5</v>
      </c>
      <c r="C180" s="15">
        <v>819.950012</v>
      </c>
      <c r="D180" s="15">
        <v>792.349976</v>
      </c>
      <c r="E180" s="15">
        <v>798.349976</v>
      </c>
      <c r="F180" s="15">
        <v>784.974304</v>
      </c>
      <c r="G180" s="15">
        <v>4917765.0</v>
      </c>
      <c r="H180" s="19">
        <f t="shared" si="1"/>
        <v>-0.03900093169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>
        <v>44607.0</v>
      </c>
      <c r="B181" s="15">
        <v>805.0</v>
      </c>
      <c r="C181" s="15">
        <v>823.0</v>
      </c>
      <c r="D181" s="15">
        <v>791.5</v>
      </c>
      <c r="E181" s="15">
        <v>820.5</v>
      </c>
      <c r="F181" s="15">
        <v>806.753296</v>
      </c>
      <c r="G181" s="15">
        <v>4358562.0</v>
      </c>
      <c r="H181" s="19">
        <f t="shared" si="1"/>
        <v>0.02774475439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>
        <v>44608.0</v>
      </c>
      <c r="B182" s="15">
        <v>830.799988</v>
      </c>
      <c r="C182" s="15">
        <v>838.0</v>
      </c>
      <c r="D182" s="15">
        <v>820.200012</v>
      </c>
      <c r="E182" s="15">
        <v>825.0</v>
      </c>
      <c r="F182" s="15">
        <v>811.177856</v>
      </c>
      <c r="G182" s="15">
        <v>2883449.0</v>
      </c>
      <c r="H182" s="19">
        <f t="shared" si="1"/>
        <v>0.005484460695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>
        <v>44609.0</v>
      </c>
      <c r="B183" s="15">
        <v>829.950012</v>
      </c>
      <c r="C183" s="15">
        <v>834.0</v>
      </c>
      <c r="D183" s="15">
        <v>820.0</v>
      </c>
      <c r="E183" s="15">
        <v>821.849976</v>
      </c>
      <c r="F183" s="15">
        <v>810.044373</v>
      </c>
      <c r="G183" s="15">
        <v>2350333.0</v>
      </c>
      <c r="H183" s="19">
        <f t="shared" si="1"/>
        <v>-0.003818210909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>
        <v>44610.0</v>
      </c>
      <c r="B184" s="15">
        <v>818.0</v>
      </c>
      <c r="C184" s="15">
        <v>827.299988</v>
      </c>
      <c r="D184" s="15">
        <v>813.049988</v>
      </c>
      <c r="E184" s="15">
        <v>816.349976</v>
      </c>
      <c r="F184" s="15">
        <v>804.623413</v>
      </c>
      <c r="G184" s="15">
        <v>1905006.0</v>
      </c>
      <c r="H184" s="19">
        <f t="shared" si="1"/>
        <v>-0.00669221897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>
        <v>44613.0</v>
      </c>
      <c r="B185" s="15">
        <v>810.0</v>
      </c>
      <c r="C185" s="15">
        <v>816.0</v>
      </c>
      <c r="D185" s="15">
        <v>796.0</v>
      </c>
      <c r="E185" s="15">
        <v>803.400024</v>
      </c>
      <c r="F185" s="15">
        <v>791.859375</v>
      </c>
      <c r="G185" s="15">
        <v>3000870.0</v>
      </c>
      <c r="H185" s="19">
        <f t="shared" si="1"/>
        <v>-0.0158632356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>
        <v>44614.0</v>
      </c>
      <c r="B186" s="15">
        <v>781.0</v>
      </c>
      <c r="C186" s="15">
        <v>799.349976</v>
      </c>
      <c r="D186" s="15">
        <v>780.0</v>
      </c>
      <c r="E186" s="15">
        <v>789.599976</v>
      </c>
      <c r="F186" s="15">
        <v>778.257629</v>
      </c>
      <c r="G186" s="15">
        <v>4301060.0</v>
      </c>
      <c r="H186" s="19">
        <f t="shared" si="1"/>
        <v>-0.01717705699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>
        <v>44615.0</v>
      </c>
      <c r="B187" s="15">
        <v>799.900024</v>
      </c>
      <c r="C187" s="15">
        <v>819.0</v>
      </c>
      <c r="D187" s="15">
        <v>795.0</v>
      </c>
      <c r="E187" s="15">
        <v>814.349976</v>
      </c>
      <c r="F187" s="15">
        <v>802.6521</v>
      </c>
      <c r="G187" s="15">
        <v>4772916.0</v>
      </c>
      <c r="H187" s="19">
        <f t="shared" si="1"/>
        <v>0.03134498576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>
        <v>44616.0</v>
      </c>
      <c r="B188" s="15">
        <v>775.0</v>
      </c>
      <c r="C188" s="15">
        <v>794.349976</v>
      </c>
      <c r="D188" s="15">
        <v>735.0</v>
      </c>
      <c r="E188" s="15">
        <v>738.049988</v>
      </c>
      <c r="F188" s="15">
        <v>727.448059</v>
      </c>
      <c r="G188" s="15">
        <v>1.0021435E7</v>
      </c>
      <c r="H188" s="19">
        <f t="shared" si="1"/>
        <v>-0.09369434549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>
        <v>44617.0</v>
      </c>
      <c r="B189" s="15">
        <v>770.0</v>
      </c>
      <c r="C189" s="15">
        <v>803.5</v>
      </c>
      <c r="D189" s="15">
        <v>768.0</v>
      </c>
      <c r="E189" s="15">
        <v>800.0</v>
      </c>
      <c r="F189" s="15">
        <v>788.50824</v>
      </c>
      <c r="G189" s="15">
        <v>7097351.0</v>
      </c>
      <c r="H189" s="19">
        <f t="shared" si="1"/>
        <v>0.08393742024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>
        <v>44620.0</v>
      </c>
      <c r="B190" s="15">
        <v>780.299988</v>
      </c>
      <c r="C190" s="15">
        <v>812.0</v>
      </c>
      <c r="D190" s="15">
        <v>780.200012</v>
      </c>
      <c r="E190" s="15">
        <v>809.349976</v>
      </c>
      <c r="F190" s="15">
        <v>797.723938</v>
      </c>
      <c r="G190" s="15">
        <v>4654745.0</v>
      </c>
      <c r="H190" s="19">
        <f t="shared" si="1"/>
        <v>0.01168747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>
        <v>44622.0</v>
      </c>
      <c r="B191" s="15">
        <v>795.0</v>
      </c>
      <c r="C191" s="15">
        <v>815.799988</v>
      </c>
      <c r="D191" s="15">
        <v>795.0</v>
      </c>
      <c r="E191" s="15">
        <v>808.799988</v>
      </c>
      <c r="F191" s="15">
        <v>797.181885</v>
      </c>
      <c r="G191" s="15">
        <v>3010826.0</v>
      </c>
      <c r="H191" s="19">
        <f t="shared" si="1"/>
        <v>-0.0006795428632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>
        <v>44623.0</v>
      </c>
      <c r="B192" s="15">
        <v>822.0</v>
      </c>
      <c r="C192" s="15">
        <v>822.0</v>
      </c>
      <c r="D192" s="15">
        <v>796.849976</v>
      </c>
      <c r="E192" s="15">
        <v>799.650024</v>
      </c>
      <c r="F192" s="15">
        <v>788.16333</v>
      </c>
      <c r="G192" s="15">
        <v>2962409.0</v>
      </c>
      <c r="H192" s="19">
        <f t="shared" si="1"/>
        <v>-0.01131301204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>
        <v>44624.0</v>
      </c>
      <c r="B193" s="15">
        <v>780.0</v>
      </c>
      <c r="C193" s="15">
        <v>780.200012</v>
      </c>
      <c r="D193" s="15">
        <v>730.0</v>
      </c>
      <c r="E193" s="15">
        <v>747.25</v>
      </c>
      <c r="F193" s="15">
        <v>736.515991</v>
      </c>
      <c r="G193" s="15">
        <v>1.5395743E7</v>
      </c>
      <c r="H193" s="19">
        <f t="shared" si="1"/>
        <v>-0.06552869684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>
        <v>44627.0</v>
      </c>
      <c r="B194" s="15">
        <v>740.0</v>
      </c>
      <c r="C194" s="15">
        <v>740.0</v>
      </c>
      <c r="D194" s="15">
        <v>708.400024</v>
      </c>
      <c r="E194" s="15">
        <v>718.0</v>
      </c>
      <c r="F194" s="15">
        <v>707.686157</v>
      </c>
      <c r="G194" s="15">
        <v>6257302.0</v>
      </c>
      <c r="H194" s="19">
        <f t="shared" si="1"/>
        <v>-0.03914352626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>
        <v>44628.0</v>
      </c>
      <c r="B195" s="15">
        <v>718.0</v>
      </c>
      <c r="C195" s="15">
        <v>728.950012</v>
      </c>
      <c r="D195" s="15">
        <v>709.049988</v>
      </c>
      <c r="E195" s="15">
        <v>718.049988</v>
      </c>
      <c r="F195" s="15">
        <v>707.735413</v>
      </c>
      <c r="G195" s="15">
        <v>4872109.0</v>
      </c>
      <c r="H195" s="19">
        <f t="shared" si="1"/>
        <v>0.00006962116992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>
        <v>44629.0</v>
      </c>
      <c r="B196" s="15">
        <v>730.950012</v>
      </c>
      <c r="C196" s="15">
        <v>738.599976</v>
      </c>
      <c r="D196" s="15">
        <v>719.049988</v>
      </c>
      <c r="E196" s="15">
        <v>735.049988</v>
      </c>
      <c r="F196" s="15">
        <v>724.491211</v>
      </c>
      <c r="G196" s="15">
        <v>4485413.0</v>
      </c>
      <c r="H196" s="19">
        <f t="shared" si="1"/>
        <v>0.02367523193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>
        <v>44630.0</v>
      </c>
      <c r="B197" s="15">
        <v>762.0</v>
      </c>
      <c r="C197" s="15">
        <v>772.0</v>
      </c>
      <c r="D197" s="15">
        <v>750.0</v>
      </c>
      <c r="E197" s="15">
        <v>758.099976</v>
      </c>
      <c r="F197" s="15">
        <v>747.210144</v>
      </c>
      <c r="G197" s="15">
        <v>5542997.0</v>
      </c>
      <c r="H197" s="19">
        <f t="shared" si="1"/>
        <v>0.03135839518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>
        <v>44631.0</v>
      </c>
      <c r="B198" s="15">
        <v>754.299988</v>
      </c>
      <c r="C198" s="15">
        <v>765.0</v>
      </c>
      <c r="D198" s="15">
        <v>748.0</v>
      </c>
      <c r="E198" s="15">
        <v>757.75</v>
      </c>
      <c r="F198" s="15">
        <v>746.865173</v>
      </c>
      <c r="G198" s="15">
        <v>2461743.0</v>
      </c>
      <c r="H198" s="19">
        <f t="shared" si="1"/>
        <v>-0.0004616488736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>
        <v>44634.0</v>
      </c>
      <c r="B199" s="15">
        <v>743.0</v>
      </c>
      <c r="C199" s="15">
        <v>762.849976</v>
      </c>
      <c r="D199" s="15">
        <v>738.549988</v>
      </c>
      <c r="E199" s="15">
        <v>752.849976</v>
      </c>
      <c r="F199" s="15">
        <v>742.035461</v>
      </c>
      <c r="G199" s="15">
        <v>3574348.0</v>
      </c>
      <c r="H199" s="19">
        <f t="shared" si="1"/>
        <v>-0.006466544375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>
        <v>44635.0</v>
      </c>
      <c r="B200" s="15">
        <v>759.0</v>
      </c>
      <c r="C200" s="15">
        <v>769.900024</v>
      </c>
      <c r="D200" s="15">
        <v>751.049988</v>
      </c>
      <c r="E200" s="15">
        <v>756.400024</v>
      </c>
      <c r="F200" s="15">
        <v>745.534546</v>
      </c>
      <c r="G200" s="15">
        <v>3053279.0</v>
      </c>
      <c r="H200" s="19">
        <f t="shared" si="1"/>
        <v>0.004715478665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>
        <v>44636.0</v>
      </c>
      <c r="B201" s="15">
        <v>768.0</v>
      </c>
      <c r="C201" s="15">
        <v>773.599976</v>
      </c>
      <c r="D201" s="15">
        <v>764.400024</v>
      </c>
      <c r="E201" s="15">
        <v>768.25</v>
      </c>
      <c r="F201" s="15">
        <v>757.214355</v>
      </c>
      <c r="G201" s="15">
        <v>2456680.0</v>
      </c>
      <c r="H201" s="19">
        <f t="shared" si="1"/>
        <v>0.01566628189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>
        <v>44637.0</v>
      </c>
      <c r="B202" s="15">
        <v>776.25</v>
      </c>
      <c r="C202" s="15">
        <v>779.599976</v>
      </c>
      <c r="D202" s="15">
        <v>767.150024</v>
      </c>
      <c r="E202" s="15">
        <v>770.450012</v>
      </c>
      <c r="F202" s="15">
        <v>759.382751</v>
      </c>
      <c r="G202" s="15">
        <v>2471381.0</v>
      </c>
      <c r="H202" s="19">
        <f t="shared" si="1"/>
        <v>0.002863666775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>
        <v>44641.0</v>
      </c>
      <c r="B203" s="15">
        <v>773.049988</v>
      </c>
      <c r="C203" s="15">
        <v>782.700012</v>
      </c>
      <c r="D203" s="15">
        <v>768.0</v>
      </c>
      <c r="E203" s="15">
        <v>770.75</v>
      </c>
      <c r="F203" s="15">
        <v>759.678467</v>
      </c>
      <c r="G203" s="15">
        <v>2165538.0</v>
      </c>
      <c r="H203" s="19">
        <f t="shared" si="1"/>
        <v>0.0003893672468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>
        <v>44642.0</v>
      </c>
      <c r="B204" s="15">
        <v>774.0</v>
      </c>
      <c r="C204" s="15">
        <v>774.0</v>
      </c>
      <c r="D204" s="15">
        <v>752.099976</v>
      </c>
      <c r="E204" s="15">
        <v>765.799988</v>
      </c>
      <c r="F204" s="15">
        <v>754.799561</v>
      </c>
      <c r="G204" s="15">
        <v>2670547.0</v>
      </c>
      <c r="H204" s="19">
        <f t="shared" si="1"/>
        <v>-0.006422331495</v>
      </c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>
        <v>44643.0</v>
      </c>
      <c r="B205" s="15">
        <v>772.0</v>
      </c>
      <c r="C205" s="15">
        <v>785.599976</v>
      </c>
      <c r="D205" s="15">
        <v>763.0</v>
      </c>
      <c r="E205" s="15">
        <v>766.450012</v>
      </c>
      <c r="F205" s="15">
        <v>755.440186</v>
      </c>
      <c r="G205" s="15">
        <v>3000265.0</v>
      </c>
      <c r="H205" s="19">
        <f t="shared" si="1"/>
        <v>0.0008488169368</v>
      </c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>
        <v>44644.0</v>
      </c>
      <c r="B206" s="15">
        <v>766.400024</v>
      </c>
      <c r="C206" s="15">
        <v>779.400024</v>
      </c>
      <c r="D206" s="15">
        <v>760.299988</v>
      </c>
      <c r="E206" s="15">
        <v>772.5</v>
      </c>
      <c r="F206" s="15">
        <v>761.403198</v>
      </c>
      <c r="G206" s="15">
        <v>1803315.0</v>
      </c>
      <c r="H206" s="19">
        <f t="shared" si="1"/>
        <v>0.007893519349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>
        <v>44645.0</v>
      </c>
      <c r="B207" s="15">
        <v>779.0</v>
      </c>
      <c r="C207" s="15">
        <v>779.25</v>
      </c>
      <c r="D207" s="15">
        <v>768.0</v>
      </c>
      <c r="E207" s="15">
        <v>770.049988</v>
      </c>
      <c r="F207" s="15">
        <v>758.988464</v>
      </c>
      <c r="G207" s="15">
        <v>1756340.0</v>
      </c>
      <c r="H207" s="19">
        <f t="shared" si="1"/>
        <v>-0.00317153657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>
        <v>44648.0</v>
      </c>
      <c r="B208" s="15">
        <v>771.0</v>
      </c>
      <c r="C208" s="15">
        <v>776.950012</v>
      </c>
      <c r="D208" s="15">
        <v>758.599976</v>
      </c>
      <c r="E208" s="15">
        <v>766.25</v>
      </c>
      <c r="F208" s="15">
        <v>755.243042</v>
      </c>
      <c r="G208" s="15">
        <v>2500762.0</v>
      </c>
      <c r="H208" s="19">
        <f t="shared" si="1"/>
        <v>-0.004934728991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>
        <v>44649.0</v>
      </c>
      <c r="B209" s="15">
        <v>769.0</v>
      </c>
      <c r="C209" s="15">
        <v>775.75</v>
      </c>
      <c r="D209" s="15">
        <v>766.0</v>
      </c>
      <c r="E209" s="15">
        <v>767.599976</v>
      </c>
      <c r="F209" s="15">
        <v>756.573608</v>
      </c>
      <c r="G209" s="15">
        <v>2496305.0</v>
      </c>
      <c r="H209" s="19">
        <f t="shared" si="1"/>
        <v>0.001761795759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>
        <v>44650.0</v>
      </c>
      <c r="B210" s="15">
        <v>773.0</v>
      </c>
      <c r="C210" s="15">
        <v>795.0</v>
      </c>
      <c r="D210" s="15">
        <v>769.0</v>
      </c>
      <c r="E210" s="15">
        <v>789.549988</v>
      </c>
      <c r="F210" s="15">
        <v>778.208374</v>
      </c>
      <c r="G210" s="15">
        <v>5002096.0</v>
      </c>
      <c r="H210" s="19">
        <f t="shared" si="1"/>
        <v>0.02859563925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>
        <v>44651.0</v>
      </c>
      <c r="B211" s="15">
        <v>791.049988</v>
      </c>
      <c r="C211" s="15">
        <v>792.75</v>
      </c>
      <c r="D211" s="15">
        <v>773.0</v>
      </c>
      <c r="E211" s="15">
        <v>774.700012</v>
      </c>
      <c r="F211" s="15">
        <v>763.571594</v>
      </c>
      <c r="G211" s="15">
        <v>2496423.0</v>
      </c>
      <c r="H211" s="19">
        <f t="shared" si="1"/>
        <v>-0.01880815176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>
        <v>44652.0</v>
      </c>
      <c r="B212" s="15">
        <v>777.0</v>
      </c>
      <c r="C212" s="15">
        <v>802.650024</v>
      </c>
      <c r="D212" s="15">
        <v>775.549988</v>
      </c>
      <c r="E212" s="15">
        <v>798.200012</v>
      </c>
      <c r="F212" s="15">
        <v>786.73407</v>
      </c>
      <c r="G212" s="15">
        <v>4160527.0</v>
      </c>
      <c r="H212" s="19">
        <f t="shared" si="1"/>
        <v>0.03033432249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>
        <v>44655.0</v>
      </c>
      <c r="B213" s="15">
        <v>803.950012</v>
      </c>
      <c r="C213" s="15">
        <v>837.700012</v>
      </c>
      <c r="D213" s="15">
        <v>803.0</v>
      </c>
      <c r="E213" s="15">
        <v>832.700012</v>
      </c>
      <c r="F213" s="15">
        <v>820.738525</v>
      </c>
      <c r="G213" s="15">
        <v>5650502.0</v>
      </c>
      <c r="H213" s="19">
        <f t="shared" si="1"/>
        <v>0.04322224941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>
        <v>44656.0</v>
      </c>
      <c r="B214" s="15">
        <v>840.849976</v>
      </c>
      <c r="C214" s="15">
        <v>840.950012</v>
      </c>
      <c r="D214" s="15">
        <v>819.450012</v>
      </c>
      <c r="E214" s="15">
        <v>822.349976</v>
      </c>
      <c r="F214" s="15">
        <v>810.53717</v>
      </c>
      <c r="G214" s="15">
        <v>3480544.0</v>
      </c>
      <c r="H214" s="19">
        <f t="shared" si="1"/>
        <v>-0.01242948943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>
        <v>44657.0</v>
      </c>
      <c r="B215" s="15">
        <v>820.0</v>
      </c>
      <c r="C215" s="15">
        <v>828.950012</v>
      </c>
      <c r="D215" s="15">
        <v>787.75</v>
      </c>
      <c r="E215" s="15">
        <v>791.950012</v>
      </c>
      <c r="F215" s="15">
        <v>780.573853</v>
      </c>
      <c r="G215" s="15">
        <v>5400080.0</v>
      </c>
      <c r="H215" s="19">
        <f t="shared" si="1"/>
        <v>-0.03696718537</v>
      </c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>
        <v>44658.0</v>
      </c>
      <c r="B216" s="15">
        <v>795.849976</v>
      </c>
      <c r="C216" s="15">
        <v>801.0</v>
      </c>
      <c r="D216" s="15">
        <v>784.0</v>
      </c>
      <c r="E216" s="15">
        <v>787.75</v>
      </c>
      <c r="F216" s="15">
        <v>776.434143</v>
      </c>
      <c r="G216" s="15">
        <v>3337181.0</v>
      </c>
      <c r="H216" s="19">
        <f t="shared" si="1"/>
        <v>-0.005303380184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>
        <v>44659.0</v>
      </c>
      <c r="B217" s="15">
        <v>791.849976</v>
      </c>
      <c r="C217" s="15">
        <v>799.799988</v>
      </c>
      <c r="D217" s="15">
        <v>789.049988</v>
      </c>
      <c r="E217" s="15">
        <v>790.349976</v>
      </c>
      <c r="F217" s="15">
        <v>778.996826</v>
      </c>
      <c r="G217" s="15">
        <v>1715933.0</v>
      </c>
      <c r="H217" s="19">
        <f t="shared" si="1"/>
        <v>0.003300509045</v>
      </c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>
        <v>44662.0</v>
      </c>
      <c r="B218" s="15">
        <v>790.349976</v>
      </c>
      <c r="C218" s="15">
        <v>809.0</v>
      </c>
      <c r="D218" s="15">
        <v>790.349976</v>
      </c>
      <c r="E218" s="15">
        <v>801.400024</v>
      </c>
      <c r="F218" s="15">
        <v>789.888123</v>
      </c>
      <c r="G218" s="15">
        <v>2482781.0</v>
      </c>
      <c r="H218" s="19">
        <f t="shared" si="1"/>
        <v>0.01398120875</v>
      </c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>
        <v>44663.0</v>
      </c>
      <c r="B219" s="15">
        <v>801.400024</v>
      </c>
      <c r="C219" s="15">
        <v>801.950012</v>
      </c>
      <c r="D219" s="15">
        <v>776.400024</v>
      </c>
      <c r="E219" s="15">
        <v>783.599976</v>
      </c>
      <c r="F219" s="15">
        <v>772.343811</v>
      </c>
      <c r="G219" s="15">
        <v>2743228.0</v>
      </c>
      <c r="H219" s="19">
        <f t="shared" si="1"/>
        <v>-0.02221118975</v>
      </c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>
        <v>44664.0</v>
      </c>
      <c r="B220" s="15">
        <v>790.0</v>
      </c>
      <c r="C220" s="15">
        <v>793.700012</v>
      </c>
      <c r="D220" s="15">
        <v>778.0</v>
      </c>
      <c r="E220" s="15">
        <v>780.299988</v>
      </c>
      <c r="F220" s="15">
        <v>769.091248</v>
      </c>
      <c r="G220" s="15">
        <v>1501647.0</v>
      </c>
      <c r="H220" s="19">
        <f t="shared" si="1"/>
        <v>-0.004211317127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>
        <v>44669.0</v>
      </c>
      <c r="B221" s="15">
        <v>778.0</v>
      </c>
      <c r="C221" s="15">
        <v>778.0</v>
      </c>
      <c r="D221" s="15">
        <v>757.299988</v>
      </c>
      <c r="E221" s="15">
        <v>767.200012</v>
      </c>
      <c r="F221" s="15">
        <v>756.179443</v>
      </c>
      <c r="G221" s="15">
        <v>2339997.0</v>
      </c>
      <c r="H221" s="19">
        <f t="shared" si="1"/>
        <v>-0.01678838421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>
        <v>44670.0</v>
      </c>
      <c r="B222" s="15">
        <v>771.049988</v>
      </c>
      <c r="C222" s="15">
        <v>778.0</v>
      </c>
      <c r="D222" s="15">
        <v>745.299988</v>
      </c>
      <c r="E222" s="15">
        <v>752.75</v>
      </c>
      <c r="F222" s="15">
        <v>741.936951</v>
      </c>
      <c r="G222" s="15">
        <v>2121322.0</v>
      </c>
      <c r="H222" s="19">
        <f t="shared" si="1"/>
        <v>-0.01883473902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>
        <v>44671.0</v>
      </c>
      <c r="B223" s="15">
        <v>755.0</v>
      </c>
      <c r="C223" s="15">
        <v>761.5</v>
      </c>
      <c r="D223" s="15">
        <v>742.849976</v>
      </c>
      <c r="E223" s="15">
        <v>747.599976</v>
      </c>
      <c r="F223" s="15">
        <v>736.860901</v>
      </c>
      <c r="G223" s="15">
        <v>2149320.0</v>
      </c>
      <c r="H223" s="19">
        <f t="shared" si="1"/>
        <v>-0.006841612753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>
        <v>44672.0</v>
      </c>
      <c r="B224" s="15">
        <v>757.799988</v>
      </c>
      <c r="C224" s="15">
        <v>761.299988</v>
      </c>
      <c r="D224" s="15">
        <v>751.150024</v>
      </c>
      <c r="E224" s="15">
        <v>759.650024</v>
      </c>
      <c r="F224" s="15">
        <v>748.737915</v>
      </c>
      <c r="G224" s="15">
        <v>1365751.0</v>
      </c>
      <c r="H224" s="19">
        <f t="shared" si="1"/>
        <v>0.01611830977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>
        <v>44673.0</v>
      </c>
      <c r="B225" s="15">
        <v>751.25</v>
      </c>
      <c r="C225" s="15">
        <v>766.0</v>
      </c>
      <c r="D225" s="15">
        <v>751.0</v>
      </c>
      <c r="E225" s="15">
        <v>755.200012</v>
      </c>
      <c r="F225" s="15">
        <v>744.351807</v>
      </c>
      <c r="G225" s="15">
        <v>1361764.0</v>
      </c>
      <c r="H225" s="19">
        <f t="shared" si="1"/>
        <v>-0.005857976515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>
        <v>44676.0</v>
      </c>
      <c r="B226" s="15">
        <v>745.0</v>
      </c>
      <c r="C226" s="15">
        <v>754.450012</v>
      </c>
      <c r="D226" s="15">
        <v>740.0</v>
      </c>
      <c r="E226" s="15">
        <v>745.599976</v>
      </c>
      <c r="F226" s="15">
        <v>734.889648</v>
      </c>
      <c r="G226" s="15">
        <v>1579619.0</v>
      </c>
      <c r="H226" s="19">
        <f t="shared" si="1"/>
        <v>-0.01271191187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>
        <v>44677.0</v>
      </c>
      <c r="B227" s="15">
        <v>749.0</v>
      </c>
      <c r="C227" s="15">
        <v>762.799988</v>
      </c>
      <c r="D227" s="15">
        <v>749.0</v>
      </c>
      <c r="E227" s="15">
        <v>761.049988</v>
      </c>
      <c r="F227" s="15">
        <v>750.117676</v>
      </c>
      <c r="G227" s="15">
        <v>1581369.0</v>
      </c>
      <c r="H227" s="19">
        <f t="shared" si="1"/>
        <v>0.02072158329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>
        <v>44678.0</v>
      </c>
      <c r="B228" s="15">
        <v>755.0</v>
      </c>
      <c r="C228" s="15">
        <v>758.549988</v>
      </c>
      <c r="D228" s="15">
        <v>742.099976</v>
      </c>
      <c r="E228" s="15">
        <v>748.5</v>
      </c>
      <c r="F228" s="15">
        <v>737.748047</v>
      </c>
      <c r="G228" s="15">
        <v>1666186.0</v>
      </c>
      <c r="H228" s="19">
        <f t="shared" si="1"/>
        <v>-0.01649035963</v>
      </c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>
        <v>44679.0</v>
      </c>
      <c r="B229" s="15">
        <v>756.700012</v>
      </c>
      <c r="C229" s="15">
        <v>761.0</v>
      </c>
      <c r="D229" s="15">
        <v>744.099976</v>
      </c>
      <c r="E229" s="15">
        <v>757.400024</v>
      </c>
      <c r="F229" s="15">
        <v>746.520264</v>
      </c>
      <c r="G229" s="15">
        <v>1902979.0</v>
      </c>
      <c r="H229" s="19">
        <f t="shared" si="1"/>
        <v>0.01189047963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>
        <v>44680.0</v>
      </c>
      <c r="B230" s="15">
        <v>759.950012</v>
      </c>
      <c r="C230" s="15">
        <v>766.650024</v>
      </c>
      <c r="D230" s="15">
        <v>745.0</v>
      </c>
      <c r="E230" s="15">
        <v>745.950012</v>
      </c>
      <c r="F230" s="15">
        <v>735.23468</v>
      </c>
      <c r="G230" s="15">
        <v>1428538.0</v>
      </c>
      <c r="H230" s="19">
        <f t="shared" si="1"/>
        <v>-0.01511752263</v>
      </c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>
        <v>44683.0</v>
      </c>
      <c r="B231" s="15">
        <v>740.0</v>
      </c>
      <c r="C231" s="15">
        <v>742.700012</v>
      </c>
      <c r="D231" s="15">
        <v>730.150024</v>
      </c>
      <c r="E231" s="15">
        <v>737.5</v>
      </c>
      <c r="F231" s="15">
        <v>726.906006</v>
      </c>
      <c r="G231" s="15">
        <v>1299170.0</v>
      </c>
      <c r="H231" s="19">
        <f t="shared" si="1"/>
        <v>-0.01132785289</v>
      </c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>
        <v>44685.0</v>
      </c>
      <c r="B232" s="15">
        <v>740.0</v>
      </c>
      <c r="C232" s="15">
        <v>744.700012</v>
      </c>
      <c r="D232" s="15">
        <v>719.150024</v>
      </c>
      <c r="E232" s="15">
        <v>721.650024</v>
      </c>
      <c r="F232" s="15">
        <v>711.283691</v>
      </c>
      <c r="G232" s="15">
        <v>1654040.0</v>
      </c>
      <c r="H232" s="19">
        <f t="shared" si="1"/>
        <v>-0.02149149288</v>
      </c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>
        <v>44686.0</v>
      </c>
      <c r="B233" s="15">
        <v>729.950012</v>
      </c>
      <c r="C233" s="15">
        <v>732.599976</v>
      </c>
      <c r="D233" s="15">
        <v>714.200012</v>
      </c>
      <c r="E233" s="15">
        <v>717.200012</v>
      </c>
      <c r="F233" s="15">
        <v>706.897644</v>
      </c>
      <c r="G233" s="15">
        <v>1245236.0</v>
      </c>
      <c r="H233" s="19">
        <f t="shared" si="1"/>
        <v>-0.00616644059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>
        <v>44687.0</v>
      </c>
      <c r="B234" s="15">
        <v>710.0</v>
      </c>
      <c r="C234" s="15">
        <v>710.950012</v>
      </c>
      <c r="D234" s="15">
        <v>700.0</v>
      </c>
      <c r="E234" s="15">
        <v>704.549988</v>
      </c>
      <c r="F234" s="15">
        <v>694.429382</v>
      </c>
      <c r="G234" s="15">
        <v>2164692.0</v>
      </c>
      <c r="H234" s="19">
        <f t="shared" si="1"/>
        <v>-0.01763806998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>
        <v>44690.0</v>
      </c>
      <c r="B235" s="15">
        <v>699.0</v>
      </c>
      <c r="C235" s="15">
        <v>702.450012</v>
      </c>
      <c r="D235" s="15">
        <v>684.25</v>
      </c>
      <c r="E235" s="15">
        <v>690.75</v>
      </c>
      <c r="F235" s="15">
        <v>680.827515</v>
      </c>
      <c r="G235" s="15">
        <v>1879751.0</v>
      </c>
      <c r="H235" s="19">
        <f t="shared" si="1"/>
        <v>-0.01958695371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>
        <v>44691.0</v>
      </c>
      <c r="B236" s="15">
        <v>688.75</v>
      </c>
      <c r="C236" s="15">
        <v>698.799988</v>
      </c>
      <c r="D236" s="15">
        <v>675.0</v>
      </c>
      <c r="E236" s="15">
        <v>678.75</v>
      </c>
      <c r="F236" s="15">
        <v>669.0</v>
      </c>
      <c r="G236" s="15">
        <v>1497882.0</v>
      </c>
      <c r="H236" s="19">
        <f t="shared" si="1"/>
        <v>-0.01737242128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>
        <v>44692.0</v>
      </c>
      <c r="B237" s="15">
        <v>678.900024</v>
      </c>
      <c r="C237" s="15">
        <v>688.0</v>
      </c>
      <c r="D237" s="15">
        <v>643.650024</v>
      </c>
      <c r="E237" s="15">
        <v>657.099976</v>
      </c>
      <c r="F237" s="15">
        <v>647.660889</v>
      </c>
      <c r="G237" s="15">
        <v>2586387.0</v>
      </c>
      <c r="H237" s="19">
        <f t="shared" si="1"/>
        <v>-0.0318969046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>
        <v>44693.0</v>
      </c>
      <c r="B238" s="15">
        <v>653.0</v>
      </c>
      <c r="C238" s="15">
        <v>653.0</v>
      </c>
      <c r="D238" s="15">
        <v>618.0</v>
      </c>
      <c r="E238" s="15">
        <v>620.650024</v>
      </c>
      <c r="F238" s="15">
        <v>611.734558</v>
      </c>
      <c r="G238" s="15">
        <v>3756193.0</v>
      </c>
      <c r="H238" s="19">
        <f t="shared" si="1"/>
        <v>-0.05547093796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>
        <v>44694.0</v>
      </c>
      <c r="B239" s="15">
        <v>626.0</v>
      </c>
      <c r="C239" s="15">
        <v>661.0</v>
      </c>
      <c r="D239" s="15">
        <v>626.0</v>
      </c>
      <c r="E239" s="15">
        <v>651.799988</v>
      </c>
      <c r="F239" s="15">
        <v>642.437073</v>
      </c>
      <c r="G239" s="15">
        <v>3683558.0</v>
      </c>
      <c r="H239" s="19">
        <f t="shared" si="1"/>
        <v>0.05018925771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>
        <v>44697.0</v>
      </c>
      <c r="B240" s="15">
        <v>657.849976</v>
      </c>
      <c r="C240" s="15">
        <v>659.849976</v>
      </c>
      <c r="D240" s="15">
        <v>639.549988</v>
      </c>
      <c r="E240" s="15">
        <v>653.75</v>
      </c>
      <c r="F240" s="15">
        <v>644.35907</v>
      </c>
      <c r="G240" s="15">
        <v>2251248.0</v>
      </c>
      <c r="H240" s="19">
        <f t="shared" si="1"/>
        <v>0.002991733716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>
        <v>44698.0</v>
      </c>
      <c r="B241" s="15">
        <v>655.450012</v>
      </c>
      <c r="C241" s="15">
        <v>687.0</v>
      </c>
      <c r="D241" s="15">
        <v>650.549988</v>
      </c>
      <c r="E241" s="15">
        <v>683.150024</v>
      </c>
      <c r="F241" s="15">
        <v>673.336853</v>
      </c>
      <c r="G241" s="15">
        <v>2795767.0</v>
      </c>
      <c r="H241" s="19">
        <f t="shared" si="1"/>
        <v>0.04497135602</v>
      </c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>
        <v>44699.0</v>
      </c>
      <c r="B242" s="15">
        <v>686.200012</v>
      </c>
      <c r="C242" s="15">
        <v>692.650024</v>
      </c>
      <c r="D242" s="15">
        <v>668.599976</v>
      </c>
      <c r="E242" s="15">
        <v>671.75</v>
      </c>
      <c r="F242" s="15">
        <v>662.100525</v>
      </c>
      <c r="G242" s="15">
        <v>2385266.0</v>
      </c>
      <c r="H242" s="19">
        <f t="shared" si="1"/>
        <v>-0.01668743848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>
        <v>44700.0</v>
      </c>
      <c r="B243" s="15">
        <v>644.0</v>
      </c>
      <c r="C243" s="15">
        <v>661.450012</v>
      </c>
      <c r="D243" s="15">
        <v>644.0</v>
      </c>
      <c r="E243" s="15">
        <v>654.849976</v>
      </c>
      <c r="F243" s="15">
        <v>645.443237</v>
      </c>
      <c r="G243" s="15">
        <v>2189389.0</v>
      </c>
      <c r="H243" s="19">
        <f t="shared" si="1"/>
        <v>-0.02515820469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>
        <v>44701.0</v>
      </c>
      <c r="B244" s="15">
        <v>670.0</v>
      </c>
      <c r="C244" s="15">
        <v>670.0</v>
      </c>
      <c r="D244" s="15">
        <v>656.0</v>
      </c>
      <c r="E244" s="15">
        <v>662.25</v>
      </c>
      <c r="F244" s="15">
        <v>652.736938</v>
      </c>
      <c r="G244" s="15">
        <v>1380474.0</v>
      </c>
      <c r="H244" s="19">
        <f t="shared" si="1"/>
        <v>0.01130033484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>
        <v>44704.0</v>
      </c>
      <c r="B245" s="15">
        <v>665.0</v>
      </c>
      <c r="C245" s="15">
        <v>676.400024</v>
      </c>
      <c r="D245" s="15">
        <v>651.549988</v>
      </c>
      <c r="E245" s="15">
        <v>653.25</v>
      </c>
      <c r="F245" s="15">
        <v>643.866211</v>
      </c>
      <c r="G245" s="15">
        <v>2459723.0</v>
      </c>
      <c r="H245" s="19">
        <f t="shared" si="1"/>
        <v>-0.01359003398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>
        <v>44705.0</v>
      </c>
      <c r="B246" s="15">
        <v>659.650024</v>
      </c>
      <c r="C246" s="15">
        <v>659.650024</v>
      </c>
      <c r="D246" s="15">
        <v>639.0</v>
      </c>
      <c r="E246" s="15">
        <v>651.150024</v>
      </c>
      <c r="F246" s="15">
        <v>641.796448</v>
      </c>
      <c r="G246" s="15">
        <v>2143475.0</v>
      </c>
      <c r="H246" s="19">
        <f t="shared" si="1"/>
        <v>-0.003214659013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>
        <v>44706.0</v>
      </c>
      <c r="B247" s="15">
        <v>655.0</v>
      </c>
      <c r="C247" s="15">
        <v>658.25</v>
      </c>
      <c r="D247" s="15">
        <v>637.0</v>
      </c>
      <c r="E247" s="15">
        <v>647.450012</v>
      </c>
      <c r="F247" s="15">
        <v>638.149597</v>
      </c>
      <c r="G247" s="15">
        <v>2333806.0</v>
      </c>
      <c r="H247" s="19">
        <f t="shared" si="1"/>
        <v>-0.005682272692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>
        <v>44707.0</v>
      </c>
      <c r="B248" s="15">
        <v>648.0</v>
      </c>
      <c r="C248" s="15">
        <v>652.0</v>
      </c>
      <c r="D248" s="15">
        <v>625.25</v>
      </c>
      <c r="E248" s="15">
        <v>639.400024</v>
      </c>
      <c r="F248" s="15">
        <v>630.215271</v>
      </c>
      <c r="G248" s="15">
        <v>2987486.0</v>
      </c>
      <c r="H248" s="19">
        <f t="shared" si="1"/>
        <v>-0.01243337378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>
        <v>44708.0</v>
      </c>
      <c r="B249" s="15">
        <v>649.0</v>
      </c>
      <c r="C249" s="15">
        <v>665.0</v>
      </c>
      <c r="D249" s="15">
        <v>648.0</v>
      </c>
      <c r="E249" s="15">
        <v>652.450012</v>
      </c>
      <c r="F249" s="15">
        <v>643.077759</v>
      </c>
      <c r="G249" s="15">
        <v>2191764.0</v>
      </c>
      <c r="H249" s="19">
        <f t="shared" si="1"/>
        <v>0.02040973962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>
        <v>44711.0</v>
      </c>
      <c r="B250" s="15">
        <v>663.5</v>
      </c>
      <c r="C250" s="15">
        <v>713.0</v>
      </c>
      <c r="D250" s="15">
        <v>662.849976</v>
      </c>
      <c r="E250" s="15">
        <v>695.099976</v>
      </c>
      <c r="F250" s="15">
        <v>685.115112</v>
      </c>
      <c r="G250" s="15">
        <v>7812575.0</v>
      </c>
      <c r="H250" s="19">
        <f t="shared" si="1"/>
        <v>0.06536893741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>
        <v>44712.0</v>
      </c>
      <c r="B251" s="15">
        <v>705.0</v>
      </c>
      <c r="C251" s="15">
        <v>711.0</v>
      </c>
      <c r="D251" s="15">
        <v>677.349976</v>
      </c>
      <c r="E251" s="15">
        <v>692.650024</v>
      </c>
      <c r="F251" s="15">
        <v>682.700256</v>
      </c>
      <c r="G251" s="15">
        <v>8925215.0</v>
      </c>
      <c r="H251" s="19">
        <f t="shared" si="1"/>
        <v>-0.003524603776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>
        <v>44713.0</v>
      </c>
      <c r="B252" s="15">
        <v>692.650024</v>
      </c>
      <c r="C252" s="15">
        <v>698.849976</v>
      </c>
      <c r="D252" s="15">
        <v>685.049988</v>
      </c>
      <c r="E252" s="15">
        <v>687.799988</v>
      </c>
      <c r="F252" s="15">
        <v>677.919922</v>
      </c>
      <c r="G252" s="15">
        <v>2016185.0</v>
      </c>
      <c r="H252" s="19">
        <f t="shared" si="1"/>
        <v>-0.007002145141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>
        <v>44714.0</v>
      </c>
      <c r="B253" s="15">
        <v>687.0</v>
      </c>
      <c r="C253" s="15">
        <v>692.099976</v>
      </c>
      <c r="D253" s="15">
        <v>671.599976</v>
      </c>
      <c r="E253" s="15">
        <v>673.099976</v>
      </c>
      <c r="F253" s="15">
        <v>663.431091</v>
      </c>
      <c r="G253" s="15">
        <v>2332416.0</v>
      </c>
      <c r="H253" s="19">
        <f t="shared" si="1"/>
        <v>-0.02137250982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>
        <v>44715.0</v>
      </c>
      <c r="B254" s="15">
        <v>681.0</v>
      </c>
      <c r="C254" s="15">
        <v>685.0</v>
      </c>
      <c r="D254" s="15">
        <v>664.299988</v>
      </c>
      <c r="E254" s="15">
        <v>665.400024</v>
      </c>
      <c r="F254" s="15">
        <v>655.841736</v>
      </c>
      <c r="G254" s="15">
        <v>2642554.0</v>
      </c>
      <c r="H254" s="19">
        <f t="shared" si="1"/>
        <v>-0.01143953688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>
        <v>44718.0</v>
      </c>
      <c r="B255" s="15">
        <v>665.0</v>
      </c>
      <c r="C255" s="15">
        <v>665.0</v>
      </c>
      <c r="D255" s="15">
        <v>648.150024</v>
      </c>
      <c r="E255" s="15">
        <v>657.900024</v>
      </c>
      <c r="F255" s="15">
        <v>648.449524</v>
      </c>
      <c r="G255" s="15">
        <v>1819887.0</v>
      </c>
      <c r="H255" s="19">
        <f t="shared" si="1"/>
        <v>-0.01127141528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>
        <v>44719.0</v>
      </c>
      <c r="B256" s="15">
        <v>657.0</v>
      </c>
      <c r="C256" s="15">
        <v>665.0</v>
      </c>
      <c r="D256" s="15">
        <v>650.0</v>
      </c>
      <c r="E256" s="15">
        <v>654.700012</v>
      </c>
      <c r="F256" s="15">
        <v>645.295471</v>
      </c>
      <c r="G256" s="15">
        <v>1587641.0</v>
      </c>
      <c r="H256" s="19">
        <f t="shared" si="1"/>
        <v>-0.004863979151</v>
      </c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>
        <v>44720.0</v>
      </c>
      <c r="B257" s="15">
        <v>654.700012</v>
      </c>
      <c r="C257" s="15">
        <v>663.299988</v>
      </c>
      <c r="D257" s="15">
        <v>645.0</v>
      </c>
      <c r="E257" s="15">
        <v>647.599976</v>
      </c>
      <c r="F257" s="15">
        <v>638.297485</v>
      </c>
      <c r="G257" s="15">
        <v>1797454.0</v>
      </c>
      <c r="H257" s="19">
        <f t="shared" si="1"/>
        <v>-0.01084471647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>
        <v>44721.0</v>
      </c>
      <c r="B258" s="15">
        <v>644.450012</v>
      </c>
      <c r="C258" s="15">
        <v>651.900024</v>
      </c>
      <c r="D258" s="15">
        <v>641.450012</v>
      </c>
      <c r="E258" s="15">
        <v>649.5</v>
      </c>
      <c r="F258" s="15">
        <v>640.170166</v>
      </c>
      <c r="G258" s="15">
        <v>1149323.0</v>
      </c>
      <c r="H258" s="19">
        <f t="shared" si="1"/>
        <v>0.00293394699</v>
      </c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>
        <v>44722.0</v>
      </c>
      <c r="B259" s="15">
        <v>642.0</v>
      </c>
      <c r="C259" s="15">
        <v>649.799988</v>
      </c>
      <c r="D259" s="15">
        <v>641.150024</v>
      </c>
      <c r="E259" s="15">
        <v>644.650024</v>
      </c>
      <c r="F259" s="15">
        <v>635.389893</v>
      </c>
      <c r="G259" s="15">
        <v>982264.0</v>
      </c>
      <c r="H259" s="19">
        <f t="shared" si="1"/>
        <v>-0.007467245574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>
        <v>44725.0</v>
      </c>
      <c r="B260" s="15">
        <v>635.0</v>
      </c>
      <c r="C260" s="15">
        <v>635.0</v>
      </c>
      <c r="D260" s="15">
        <v>621.700012</v>
      </c>
      <c r="E260" s="15">
        <v>626.650024</v>
      </c>
      <c r="F260" s="15">
        <v>617.648376</v>
      </c>
      <c r="G260" s="15">
        <v>2000311.0</v>
      </c>
      <c r="H260" s="19">
        <f t="shared" si="1"/>
        <v>-0.02792212725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>
        <v>44726.0</v>
      </c>
      <c r="B261" s="15">
        <v>624.0</v>
      </c>
      <c r="C261" s="15">
        <v>635.0</v>
      </c>
      <c r="D261" s="15">
        <v>619.5</v>
      </c>
      <c r="E261" s="15">
        <v>623.200012</v>
      </c>
      <c r="F261" s="15">
        <v>614.247925</v>
      </c>
      <c r="G261" s="15">
        <v>1952853.0</v>
      </c>
      <c r="H261" s="19">
        <f t="shared" si="1"/>
        <v>-0.005505484509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>
        <v>44727.0</v>
      </c>
      <c r="B262" s="15">
        <v>624.950012</v>
      </c>
      <c r="C262" s="15">
        <v>632.450012</v>
      </c>
      <c r="D262" s="15">
        <v>622.200012</v>
      </c>
      <c r="E262" s="15">
        <v>623.349976</v>
      </c>
      <c r="F262" s="15">
        <v>614.395752</v>
      </c>
      <c r="G262" s="15">
        <v>971460.0</v>
      </c>
      <c r="H262" s="19">
        <f t="shared" si="1"/>
        <v>0.0002406354254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>
        <v>44728.0</v>
      </c>
      <c r="B263" s="15">
        <v>633.599976</v>
      </c>
      <c r="C263" s="15">
        <v>633.950012</v>
      </c>
      <c r="D263" s="15">
        <v>597.200012</v>
      </c>
      <c r="E263" s="15">
        <v>600.099976</v>
      </c>
      <c r="F263" s="15">
        <v>591.479675</v>
      </c>
      <c r="G263" s="15">
        <v>2867076.0</v>
      </c>
      <c r="H263" s="19">
        <f t="shared" si="1"/>
        <v>-0.03729846939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>
        <v>44729.0</v>
      </c>
      <c r="B264" s="15">
        <v>599.0</v>
      </c>
      <c r="C264" s="15">
        <v>601.049988</v>
      </c>
      <c r="D264" s="15">
        <v>581.450012</v>
      </c>
      <c r="E264" s="15">
        <v>594.349976</v>
      </c>
      <c r="F264" s="15">
        <v>585.812317</v>
      </c>
      <c r="G264" s="15">
        <v>3552167.0</v>
      </c>
      <c r="H264" s="19">
        <f t="shared" si="1"/>
        <v>-0.00958173676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>
        <v>44732.0</v>
      </c>
      <c r="B265" s="15">
        <v>590.0</v>
      </c>
      <c r="C265" s="15">
        <v>597.900024</v>
      </c>
      <c r="D265" s="15">
        <v>568.450012</v>
      </c>
      <c r="E265" s="15">
        <v>574.25</v>
      </c>
      <c r="F265" s="15">
        <v>566.001099</v>
      </c>
      <c r="G265" s="15">
        <v>2426937.0</v>
      </c>
      <c r="H265" s="19">
        <f t="shared" si="1"/>
        <v>-0.03381841812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>
        <v>44733.0</v>
      </c>
      <c r="B266" s="15">
        <v>578.0</v>
      </c>
      <c r="C266" s="15">
        <v>603.0</v>
      </c>
      <c r="D266" s="15">
        <v>574.049988</v>
      </c>
      <c r="E266" s="15">
        <v>599.849976</v>
      </c>
      <c r="F266" s="15">
        <v>591.233276</v>
      </c>
      <c r="G266" s="15">
        <v>3366401.0</v>
      </c>
      <c r="H266" s="19">
        <f t="shared" si="1"/>
        <v>0.04457984502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>
        <v>44734.0</v>
      </c>
      <c r="B267" s="15">
        <v>597.700012</v>
      </c>
      <c r="C267" s="15">
        <v>597.700012</v>
      </c>
      <c r="D267" s="15">
        <v>584.150024</v>
      </c>
      <c r="E267" s="15">
        <v>589.799988</v>
      </c>
      <c r="F267" s="15">
        <v>581.327637</v>
      </c>
      <c r="G267" s="15">
        <v>1686383.0</v>
      </c>
      <c r="H267" s="19">
        <f t="shared" si="1"/>
        <v>-0.01675416921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>
        <v>44735.0</v>
      </c>
      <c r="B268" s="15">
        <v>589.799988</v>
      </c>
      <c r="C268" s="15">
        <v>595.799988</v>
      </c>
      <c r="D268" s="15">
        <v>581.900024</v>
      </c>
      <c r="E268" s="15">
        <v>589.5</v>
      </c>
      <c r="F268" s="15">
        <v>581.031982</v>
      </c>
      <c r="G268" s="15">
        <v>2026544.0</v>
      </c>
      <c r="H268" s="19">
        <f t="shared" si="1"/>
        <v>-0.0005086266635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>
        <v>44736.0</v>
      </c>
      <c r="B269" s="15">
        <v>592.049988</v>
      </c>
      <c r="C269" s="15">
        <v>599.950012</v>
      </c>
      <c r="D269" s="15">
        <v>590.599976</v>
      </c>
      <c r="E269" s="15">
        <v>596.5</v>
      </c>
      <c r="F269" s="15">
        <v>587.931458</v>
      </c>
      <c r="G269" s="15">
        <v>1938626.0</v>
      </c>
      <c r="H269" s="19">
        <f t="shared" si="1"/>
        <v>0.01187446989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>
        <v>44739.0</v>
      </c>
      <c r="B270" s="15">
        <v>605.049988</v>
      </c>
      <c r="C270" s="15">
        <v>615.0</v>
      </c>
      <c r="D270" s="15">
        <v>602.5</v>
      </c>
      <c r="E270" s="15">
        <v>613.0</v>
      </c>
      <c r="F270" s="15">
        <v>604.194397</v>
      </c>
      <c r="G270" s="15">
        <v>2296044.0</v>
      </c>
      <c r="H270" s="19">
        <f t="shared" si="1"/>
        <v>0.02766135792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>
        <v>44740.0</v>
      </c>
      <c r="B271" s="15">
        <v>610.549988</v>
      </c>
      <c r="C271" s="15">
        <v>623.5</v>
      </c>
      <c r="D271" s="15">
        <v>603.799988</v>
      </c>
      <c r="E271" s="15">
        <v>620.049988</v>
      </c>
      <c r="F271" s="15">
        <v>611.143127</v>
      </c>
      <c r="G271" s="15">
        <v>2017990.0</v>
      </c>
      <c r="H271" s="19">
        <f t="shared" si="1"/>
        <v>0.01150079608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>
        <v>44741.0</v>
      </c>
      <c r="B272" s="15">
        <v>612.0</v>
      </c>
      <c r="C272" s="15">
        <v>614.950012</v>
      </c>
      <c r="D272" s="15">
        <v>597.0</v>
      </c>
      <c r="E272" s="15">
        <v>601.150024</v>
      </c>
      <c r="F272" s="15">
        <v>592.514648</v>
      </c>
      <c r="G272" s="15">
        <v>2143251.0</v>
      </c>
      <c r="H272" s="19">
        <f t="shared" si="1"/>
        <v>-0.03048135532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>
        <v>44742.0</v>
      </c>
      <c r="B273" s="15">
        <v>601.150024</v>
      </c>
      <c r="C273" s="15">
        <v>603.900024</v>
      </c>
      <c r="D273" s="15">
        <v>575.0</v>
      </c>
      <c r="E273" s="15">
        <v>576.200012</v>
      </c>
      <c r="F273" s="15">
        <v>567.923096</v>
      </c>
      <c r="G273" s="15">
        <v>3232913.0</v>
      </c>
      <c r="H273" s="19">
        <f t="shared" si="1"/>
        <v>-0.04150380272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>
        <v>44743.0</v>
      </c>
      <c r="B274" s="15">
        <v>576.200012</v>
      </c>
      <c r="C274" s="15">
        <v>585.799988</v>
      </c>
      <c r="D274" s="15">
        <v>575.700012</v>
      </c>
      <c r="E274" s="15">
        <v>579.200012</v>
      </c>
      <c r="F274" s="15">
        <v>570.880005</v>
      </c>
      <c r="G274" s="15">
        <v>1928361.0</v>
      </c>
      <c r="H274" s="19">
        <f t="shared" si="1"/>
        <v>0.005206525404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>
        <v>44746.0</v>
      </c>
      <c r="B275" s="15">
        <v>581.5</v>
      </c>
      <c r="C275" s="15">
        <v>586.5</v>
      </c>
      <c r="D275" s="15">
        <v>572.0</v>
      </c>
      <c r="E275" s="15">
        <v>575.400024</v>
      </c>
      <c r="F275" s="15">
        <v>567.134521</v>
      </c>
      <c r="G275" s="15">
        <v>1698911.0</v>
      </c>
      <c r="H275" s="19">
        <f t="shared" si="1"/>
        <v>-0.006560752627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>
        <v>44747.0</v>
      </c>
      <c r="B276" s="15">
        <v>579.0</v>
      </c>
      <c r="C276" s="15">
        <v>583.799988</v>
      </c>
      <c r="D276" s="15">
        <v>570.0</v>
      </c>
      <c r="E276" s="15">
        <v>570.849976</v>
      </c>
      <c r="F276" s="15">
        <v>562.649902</v>
      </c>
      <c r="G276" s="15">
        <v>1576894.0</v>
      </c>
      <c r="H276" s="19">
        <f t="shared" si="1"/>
        <v>-0.007907625669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>
        <v>44748.0</v>
      </c>
      <c r="B277" s="15">
        <v>570.849976</v>
      </c>
      <c r="C277" s="15">
        <v>579.150024</v>
      </c>
      <c r="D277" s="15">
        <v>557.0</v>
      </c>
      <c r="E277" s="15">
        <v>577.299988</v>
      </c>
      <c r="F277" s="15">
        <v>569.007202</v>
      </c>
      <c r="G277" s="15">
        <v>2751283.0</v>
      </c>
      <c r="H277" s="19">
        <f t="shared" si="1"/>
        <v>0.01129896167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>
        <v>44749.0</v>
      </c>
      <c r="B278" s="15">
        <v>584.299988</v>
      </c>
      <c r="C278" s="15">
        <v>588.0</v>
      </c>
      <c r="D278" s="15">
        <v>578.099976</v>
      </c>
      <c r="E278" s="15">
        <v>582.650024</v>
      </c>
      <c r="F278" s="15">
        <v>574.280396</v>
      </c>
      <c r="G278" s="15">
        <v>2197534.0</v>
      </c>
      <c r="H278" s="19">
        <f t="shared" si="1"/>
        <v>0.009267341263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>
        <v>44750.0</v>
      </c>
      <c r="B279" s="15">
        <v>586.0</v>
      </c>
      <c r="C279" s="15">
        <v>591.0</v>
      </c>
      <c r="D279" s="15">
        <v>583.400024</v>
      </c>
      <c r="E279" s="15">
        <v>589.0</v>
      </c>
      <c r="F279" s="15">
        <v>580.539185</v>
      </c>
      <c r="G279" s="15">
        <v>1642440.0</v>
      </c>
      <c r="H279" s="19">
        <f t="shared" si="1"/>
        <v>0.01089843944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>
        <v>44753.0</v>
      </c>
      <c r="B280" s="15">
        <v>587.599976</v>
      </c>
      <c r="C280" s="15">
        <v>594.650024</v>
      </c>
      <c r="D280" s="15">
        <v>583.75</v>
      </c>
      <c r="E280" s="15">
        <v>592.900024</v>
      </c>
      <c r="F280" s="15">
        <v>584.38324</v>
      </c>
      <c r="G280" s="15">
        <v>1443087.0</v>
      </c>
      <c r="H280" s="19">
        <f t="shared" si="1"/>
        <v>0.006621432937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>
        <v>44754.0</v>
      </c>
      <c r="B281" s="15">
        <v>589.0</v>
      </c>
      <c r="C281" s="15">
        <v>601.200012</v>
      </c>
      <c r="D281" s="15">
        <v>582.349976</v>
      </c>
      <c r="E281" s="15">
        <v>590.25</v>
      </c>
      <c r="F281" s="15">
        <v>581.77124</v>
      </c>
      <c r="G281" s="15">
        <v>1990023.0</v>
      </c>
      <c r="H281" s="19">
        <f t="shared" si="1"/>
        <v>-0.004469596716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>
        <v>44755.0</v>
      </c>
      <c r="B282" s="15">
        <v>593.0</v>
      </c>
      <c r="C282" s="15">
        <v>605.599976</v>
      </c>
      <c r="D282" s="15">
        <v>591.299988</v>
      </c>
      <c r="E282" s="15">
        <v>592.799988</v>
      </c>
      <c r="F282" s="15">
        <v>584.284546</v>
      </c>
      <c r="G282" s="15">
        <v>2991446.0</v>
      </c>
      <c r="H282" s="19">
        <f t="shared" si="1"/>
        <v>0.004320182973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>
        <v>44756.0</v>
      </c>
      <c r="B283" s="15">
        <v>594.950012</v>
      </c>
      <c r="C283" s="15">
        <v>597.849976</v>
      </c>
      <c r="D283" s="15">
        <v>581.0</v>
      </c>
      <c r="E283" s="15">
        <v>585.700012</v>
      </c>
      <c r="F283" s="15">
        <v>577.28656</v>
      </c>
      <c r="G283" s="15">
        <v>1831386.0</v>
      </c>
      <c r="H283" s="19">
        <f t="shared" si="1"/>
        <v>-0.01197701779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>
        <v>44757.0</v>
      </c>
      <c r="B284" s="15">
        <v>589.0</v>
      </c>
      <c r="C284" s="15">
        <v>594.400024</v>
      </c>
      <c r="D284" s="15">
        <v>586.099976</v>
      </c>
      <c r="E284" s="15">
        <v>591.25</v>
      </c>
      <c r="F284" s="15">
        <v>582.756897</v>
      </c>
      <c r="G284" s="15">
        <v>1140354.0</v>
      </c>
      <c r="H284" s="19">
        <f t="shared" si="1"/>
        <v>0.009475820192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>
        <v>44760.0</v>
      </c>
      <c r="B285" s="15">
        <v>595.799988</v>
      </c>
      <c r="C285" s="15">
        <v>605.0</v>
      </c>
      <c r="D285" s="15">
        <v>595.25</v>
      </c>
      <c r="E285" s="15">
        <v>604.0</v>
      </c>
      <c r="F285" s="15">
        <v>595.32373</v>
      </c>
      <c r="G285" s="15">
        <v>2221750.0</v>
      </c>
      <c r="H285" s="19">
        <f t="shared" si="1"/>
        <v>0.02156448203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>
        <v>44761.0</v>
      </c>
      <c r="B286" s="15">
        <v>600.0</v>
      </c>
      <c r="C286" s="15">
        <v>611.5</v>
      </c>
      <c r="D286" s="15">
        <v>599.0</v>
      </c>
      <c r="E286" s="15">
        <v>607.75</v>
      </c>
      <c r="F286" s="15">
        <v>599.019836</v>
      </c>
      <c r="G286" s="15">
        <v>2129099.0</v>
      </c>
      <c r="H286" s="19">
        <f t="shared" si="1"/>
        <v>0.006208609272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>
        <v>44762.0</v>
      </c>
      <c r="B287" s="15">
        <v>615.950012</v>
      </c>
      <c r="C287" s="15">
        <v>617.400024</v>
      </c>
      <c r="D287" s="15">
        <v>606.450012</v>
      </c>
      <c r="E287" s="15">
        <v>608.150024</v>
      </c>
      <c r="F287" s="15">
        <v>599.414124</v>
      </c>
      <c r="G287" s="15">
        <v>1599889.0</v>
      </c>
      <c r="H287" s="19">
        <f t="shared" si="1"/>
        <v>0.000658204854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>
        <v>44763.0</v>
      </c>
      <c r="B288" s="15">
        <v>608.0</v>
      </c>
      <c r="C288" s="15">
        <v>612.900024</v>
      </c>
      <c r="D288" s="15">
        <v>603.150024</v>
      </c>
      <c r="E288" s="15">
        <v>607.849976</v>
      </c>
      <c r="F288" s="15">
        <v>599.118347</v>
      </c>
      <c r="G288" s="15">
        <v>1622641.0</v>
      </c>
      <c r="H288" s="19">
        <f t="shared" si="1"/>
        <v>-0.0004933782589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>
        <v>44764.0</v>
      </c>
      <c r="B289" s="15">
        <v>610.650024</v>
      </c>
      <c r="C289" s="15">
        <v>616.799988</v>
      </c>
      <c r="D289" s="15">
        <v>607.049988</v>
      </c>
      <c r="E289" s="15">
        <v>609.75</v>
      </c>
      <c r="F289" s="15">
        <v>600.991089</v>
      </c>
      <c r="G289" s="15">
        <v>1465991.0</v>
      </c>
      <c r="H289" s="19">
        <f t="shared" si="1"/>
        <v>0.003125810767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>
        <v>44767.0</v>
      </c>
      <c r="B290" s="15">
        <v>609.299988</v>
      </c>
      <c r="C290" s="15">
        <v>610.799988</v>
      </c>
      <c r="D290" s="15">
        <v>596.049988</v>
      </c>
      <c r="E290" s="15">
        <v>599.299988</v>
      </c>
      <c r="F290" s="15">
        <v>590.691284</v>
      </c>
      <c r="G290" s="15">
        <v>1288536.0</v>
      </c>
      <c r="H290" s="19">
        <f t="shared" si="1"/>
        <v>-0.01713819106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>
        <v>44768.0</v>
      </c>
      <c r="B291" s="15">
        <v>597.599976</v>
      </c>
      <c r="C291" s="15">
        <v>598.900024</v>
      </c>
      <c r="D291" s="15">
        <v>591.0</v>
      </c>
      <c r="E291" s="15">
        <v>596.049988</v>
      </c>
      <c r="F291" s="15">
        <v>587.487915</v>
      </c>
      <c r="G291" s="15">
        <v>1549042.0</v>
      </c>
      <c r="H291" s="19">
        <f t="shared" si="1"/>
        <v>-0.005422993601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>
        <v>44769.0</v>
      </c>
      <c r="B292" s="15">
        <v>593.0</v>
      </c>
      <c r="C292" s="15">
        <v>602.25</v>
      </c>
      <c r="D292" s="15">
        <v>588.799988</v>
      </c>
      <c r="E292" s="15">
        <v>600.950012</v>
      </c>
      <c r="F292" s="15">
        <v>592.317566</v>
      </c>
      <c r="G292" s="15">
        <v>1176622.0</v>
      </c>
      <c r="H292" s="19">
        <f t="shared" si="1"/>
        <v>0.008220827277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>
        <v>44770.0</v>
      </c>
      <c r="B293" s="15">
        <v>604.099976</v>
      </c>
      <c r="C293" s="15">
        <v>606.849976</v>
      </c>
      <c r="D293" s="15">
        <v>598.099976</v>
      </c>
      <c r="E293" s="15">
        <v>602.5</v>
      </c>
      <c r="F293" s="15">
        <v>593.845276</v>
      </c>
      <c r="G293" s="15">
        <v>1600700.0</v>
      </c>
      <c r="H293" s="19">
        <f t="shared" si="1"/>
        <v>0.002579229502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>
        <v>44771.0</v>
      </c>
      <c r="B294" s="15">
        <v>606.0</v>
      </c>
      <c r="C294" s="15">
        <v>640.0</v>
      </c>
      <c r="D294" s="15">
        <v>605.200012</v>
      </c>
      <c r="E294" s="15">
        <v>637.099976</v>
      </c>
      <c r="F294" s="15">
        <v>627.948181</v>
      </c>
      <c r="G294" s="15">
        <v>6964646.0</v>
      </c>
      <c r="H294" s="19">
        <f t="shared" si="1"/>
        <v>0.05742734606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>
        <v>44774.0</v>
      </c>
      <c r="B295" s="15">
        <v>646.349976</v>
      </c>
      <c r="C295" s="15">
        <v>647.900024</v>
      </c>
      <c r="D295" s="15">
        <v>632.75</v>
      </c>
      <c r="E295" s="15">
        <v>641.900024</v>
      </c>
      <c r="F295" s="15">
        <v>632.679321</v>
      </c>
      <c r="G295" s="15">
        <v>3068787.0</v>
      </c>
      <c r="H295" s="19">
        <f t="shared" si="1"/>
        <v>0.007534214693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>
        <v>44775.0</v>
      </c>
      <c r="B296" s="15">
        <v>639.5</v>
      </c>
      <c r="C296" s="15">
        <v>654.900024</v>
      </c>
      <c r="D296" s="15">
        <v>632.0</v>
      </c>
      <c r="E296" s="15">
        <v>647.950012</v>
      </c>
      <c r="F296" s="15">
        <v>638.642456</v>
      </c>
      <c r="G296" s="15">
        <v>3211110.0</v>
      </c>
      <c r="H296" s="19">
        <f t="shared" si="1"/>
        <v>0.009425125057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>
        <v>44776.0</v>
      </c>
      <c r="B297" s="15">
        <v>645.349976</v>
      </c>
      <c r="C297" s="15">
        <v>648.650024</v>
      </c>
      <c r="D297" s="15">
        <v>635.0</v>
      </c>
      <c r="E297" s="15">
        <v>642.150024</v>
      </c>
      <c r="F297" s="15">
        <v>632.925781</v>
      </c>
      <c r="G297" s="15">
        <v>1638012.0</v>
      </c>
      <c r="H297" s="19">
        <f t="shared" si="1"/>
        <v>-0.008951289286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>
        <v>44777.0</v>
      </c>
      <c r="B298" s="15">
        <v>645.0</v>
      </c>
      <c r="C298" s="15">
        <v>649.400024</v>
      </c>
      <c r="D298" s="15">
        <v>631.049988</v>
      </c>
      <c r="E298" s="15">
        <v>639.0</v>
      </c>
      <c r="F298" s="15">
        <v>629.820923</v>
      </c>
      <c r="G298" s="15">
        <v>1794443.0</v>
      </c>
      <c r="H298" s="19">
        <f t="shared" si="1"/>
        <v>-0.004905433127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>
        <v>44778.0</v>
      </c>
      <c r="B299" s="15">
        <v>640.650024</v>
      </c>
      <c r="C299" s="15">
        <v>647.200012</v>
      </c>
      <c r="D299" s="15">
        <v>637.799988</v>
      </c>
      <c r="E299" s="15">
        <v>642.349976</v>
      </c>
      <c r="F299" s="15">
        <v>633.122803</v>
      </c>
      <c r="G299" s="15">
        <v>1225071.0</v>
      </c>
      <c r="H299" s="19">
        <f t="shared" si="1"/>
        <v>0.005242528951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>
        <v>44781.0</v>
      </c>
      <c r="B300" s="15">
        <v>643.0</v>
      </c>
      <c r="C300" s="15">
        <v>661.0</v>
      </c>
      <c r="D300" s="15">
        <v>642.400024</v>
      </c>
      <c r="E300" s="15">
        <v>658.5</v>
      </c>
      <c r="F300" s="15">
        <v>649.040894</v>
      </c>
      <c r="G300" s="15">
        <v>3886443.0</v>
      </c>
      <c r="H300" s="19">
        <f t="shared" si="1"/>
        <v>0.02514209481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>
        <v>44783.0</v>
      </c>
      <c r="B301" s="15">
        <v>663.25</v>
      </c>
      <c r="C301" s="15">
        <v>677.5</v>
      </c>
      <c r="D301" s="15">
        <v>654.200012</v>
      </c>
      <c r="E301" s="15">
        <v>673.150024</v>
      </c>
      <c r="F301" s="15">
        <v>663.480469</v>
      </c>
      <c r="G301" s="15">
        <v>5461816.0</v>
      </c>
      <c r="H301" s="19">
        <f t="shared" si="1"/>
        <v>0.02224756872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>
        <v>44784.0</v>
      </c>
      <c r="B302" s="15">
        <v>688.0</v>
      </c>
      <c r="C302" s="15">
        <v>691.349976</v>
      </c>
      <c r="D302" s="15">
        <v>652.299988</v>
      </c>
      <c r="E302" s="15">
        <v>670.099976</v>
      </c>
      <c r="F302" s="15">
        <v>660.474243</v>
      </c>
      <c r="G302" s="15">
        <v>8853819.0</v>
      </c>
      <c r="H302" s="19">
        <f t="shared" si="1"/>
        <v>-0.004531007786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8">
        <v>44785.0</v>
      </c>
      <c r="B303" s="15">
        <v>670.200012</v>
      </c>
      <c r="C303" s="15">
        <v>684.950012</v>
      </c>
      <c r="D303" s="15">
        <v>663.700012</v>
      </c>
      <c r="E303" s="15">
        <v>666.450012</v>
      </c>
      <c r="F303" s="15">
        <v>656.876709</v>
      </c>
      <c r="G303" s="15">
        <v>4080911.0</v>
      </c>
      <c r="H303" s="19">
        <f t="shared" si="1"/>
        <v>-0.005446894688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>
        <v>44789.0</v>
      </c>
      <c r="B304" s="15">
        <v>669.799988</v>
      </c>
      <c r="C304" s="15">
        <v>676.0</v>
      </c>
      <c r="D304" s="15">
        <v>666.0</v>
      </c>
      <c r="E304" s="15">
        <v>668.150024</v>
      </c>
      <c r="F304" s="15">
        <v>658.552246</v>
      </c>
      <c r="G304" s="15">
        <v>1596822.0</v>
      </c>
      <c r="H304" s="19">
        <f t="shared" si="1"/>
        <v>0.002550846979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8">
        <v>44790.0</v>
      </c>
      <c r="B305" s="15">
        <v>668.950012</v>
      </c>
      <c r="C305" s="15">
        <v>676.0</v>
      </c>
      <c r="D305" s="15">
        <v>668.150024</v>
      </c>
      <c r="E305" s="15">
        <v>671.650024</v>
      </c>
      <c r="F305" s="15">
        <v>662.002014</v>
      </c>
      <c r="G305" s="15">
        <v>1526304.0</v>
      </c>
      <c r="H305" s="19">
        <f t="shared" si="1"/>
        <v>0.005238344495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>
        <v>44791.0</v>
      </c>
      <c r="B306" s="15">
        <v>674.0</v>
      </c>
      <c r="C306" s="15">
        <v>723.0</v>
      </c>
      <c r="D306" s="15">
        <v>673.0</v>
      </c>
      <c r="E306" s="15">
        <v>714.150024</v>
      </c>
      <c r="F306" s="15">
        <v>705.46698</v>
      </c>
      <c r="G306" s="15">
        <v>1.0273793E7</v>
      </c>
      <c r="H306" s="19">
        <f t="shared" si="1"/>
        <v>0.06327700213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8">
        <v>44792.0</v>
      </c>
      <c r="B307" s="15">
        <v>706.900024</v>
      </c>
      <c r="C307" s="15">
        <v>752.75</v>
      </c>
      <c r="D307" s="15">
        <v>697.150024</v>
      </c>
      <c r="E307" s="15">
        <v>735.150024</v>
      </c>
      <c r="F307" s="15">
        <v>726.211731</v>
      </c>
      <c r="G307" s="15">
        <v>2.5609355E7</v>
      </c>
      <c r="H307" s="19">
        <f t="shared" si="1"/>
        <v>0.02940558607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>
        <v>44795.0</v>
      </c>
      <c r="B308" s="15">
        <v>719.0</v>
      </c>
      <c r="C308" s="15">
        <v>726.5</v>
      </c>
      <c r="D308" s="15">
        <v>703.200012</v>
      </c>
      <c r="E308" s="15">
        <v>712.5</v>
      </c>
      <c r="F308" s="15">
        <v>703.837036</v>
      </c>
      <c r="G308" s="15">
        <v>9845889.0</v>
      </c>
      <c r="H308" s="19">
        <f t="shared" si="1"/>
        <v>-0.03081007041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8">
        <v>44796.0</v>
      </c>
      <c r="B309" s="15">
        <v>703.0</v>
      </c>
      <c r="C309" s="15">
        <v>719.0</v>
      </c>
      <c r="D309" s="15">
        <v>698.299988</v>
      </c>
      <c r="E309" s="15">
        <v>714.950012</v>
      </c>
      <c r="F309" s="15">
        <v>706.257263</v>
      </c>
      <c r="G309" s="15">
        <v>4889154.0</v>
      </c>
      <c r="H309" s="19">
        <f t="shared" si="1"/>
        <v>0.003438613333</v>
      </c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>
        <v>44797.0</v>
      </c>
      <c r="B310" s="15">
        <v>714.950012</v>
      </c>
      <c r="C310" s="15">
        <v>729.0</v>
      </c>
      <c r="D310" s="15">
        <v>708.150024</v>
      </c>
      <c r="E310" s="15">
        <v>724.299988</v>
      </c>
      <c r="F310" s="15">
        <v>715.493591</v>
      </c>
      <c r="G310" s="15">
        <v>4455258.0</v>
      </c>
      <c r="H310" s="19">
        <f t="shared" si="1"/>
        <v>0.01307780382</v>
      </c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8">
        <v>44798.0</v>
      </c>
      <c r="B311" s="15">
        <v>729.900024</v>
      </c>
      <c r="C311" s="15">
        <v>733.75</v>
      </c>
      <c r="D311" s="15">
        <v>715.0</v>
      </c>
      <c r="E311" s="15">
        <v>717.0</v>
      </c>
      <c r="F311" s="15">
        <v>708.282349</v>
      </c>
      <c r="G311" s="15">
        <v>3528550.0</v>
      </c>
      <c r="H311" s="19">
        <f t="shared" si="1"/>
        <v>-0.01007868027</v>
      </c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>
        <v>44799.0</v>
      </c>
      <c r="B312" s="15">
        <v>720.0</v>
      </c>
      <c r="C312" s="15">
        <v>727.75</v>
      </c>
      <c r="D312" s="15">
        <v>716.099976</v>
      </c>
      <c r="E312" s="15">
        <v>718.650024</v>
      </c>
      <c r="F312" s="15">
        <v>709.912292</v>
      </c>
      <c r="G312" s="15">
        <v>1996839.0</v>
      </c>
      <c r="H312" s="19">
        <f t="shared" si="1"/>
        <v>0.002301288703</v>
      </c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8">
        <v>44802.0</v>
      </c>
      <c r="B313" s="15">
        <v>666.0</v>
      </c>
      <c r="C313" s="15">
        <v>697.0</v>
      </c>
      <c r="D313" s="15">
        <v>666.0</v>
      </c>
      <c r="E313" s="15">
        <v>691.799988</v>
      </c>
      <c r="F313" s="15">
        <v>683.388733</v>
      </c>
      <c r="G313" s="15">
        <v>5290429.0</v>
      </c>
      <c r="H313" s="19">
        <f t="shared" si="1"/>
        <v>-0.03736176874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>
        <v>44803.0</v>
      </c>
      <c r="B314" s="15">
        <v>699.950012</v>
      </c>
      <c r="C314" s="15">
        <v>713.849976</v>
      </c>
      <c r="D314" s="15">
        <v>696.200012</v>
      </c>
      <c r="E314" s="15">
        <v>710.75</v>
      </c>
      <c r="F314" s="15">
        <v>702.108337</v>
      </c>
      <c r="G314" s="15">
        <v>3375748.0</v>
      </c>
      <c r="H314" s="19">
        <f t="shared" si="1"/>
        <v>0.02739232774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8">
        <v>44805.0</v>
      </c>
      <c r="B315" s="15">
        <v>707.0</v>
      </c>
      <c r="C315" s="15">
        <v>716.849976</v>
      </c>
      <c r="D315" s="15">
        <v>703.200012</v>
      </c>
      <c r="E315" s="15">
        <v>707.049988</v>
      </c>
      <c r="F315" s="15">
        <v>698.453308</v>
      </c>
      <c r="G315" s="15">
        <v>2309164.0</v>
      </c>
      <c r="H315" s="19">
        <f t="shared" si="1"/>
        <v>-0.005205785438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>
        <v>44806.0</v>
      </c>
      <c r="B316" s="15">
        <v>713.900024</v>
      </c>
      <c r="C316" s="15">
        <v>726.200012</v>
      </c>
      <c r="D316" s="15">
        <v>710.150024</v>
      </c>
      <c r="E316" s="15">
        <v>712.650024</v>
      </c>
      <c r="F316" s="15">
        <v>703.985229</v>
      </c>
      <c r="G316" s="15">
        <v>3497693.0</v>
      </c>
      <c r="H316" s="19">
        <f t="shared" si="1"/>
        <v>0.007920283</v>
      </c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8">
        <v>44809.0</v>
      </c>
      <c r="B317" s="15">
        <v>716.25</v>
      </c>
      <c r="C317" s="15">
        <v>721.450012</v>
      </c>
      <c r="D317" s="15">
        <v>710.0</v>
      </c>
      <c r="E317" s="15">
        <v>710.900024</v>
      </c>
      <c r="F317" s="15">
        <v>702.25647</v>
      </c>
      <c r="G317" s="15">
        <v>1573079.0</v>
      </c>
      <c r="H317" s="19">
        <f t="shared" si="1"/>
        <v>-0.002455623295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>
        <v>44810.0</v>
      </c>
      <c r="B318" s="15">
        <v>714.900024</v>
      </c>
      <c r="C318" s="15">
        <v>717.650024</v>
      </c>
      <c r="D318" s="15">
        <v>705.200012</v>
      </c>
      <c r="E318" s="15">
        <v>708.299988</v>
      </c>
      <c r="F318" s="15">
        <v>699.68811</v>
      </c>
      <c r="G318" s="15">
        <v>1471443.0</v>
      </c>
      <c r="H318" s="19">
        <f t="shared" si="1"/>
        <v>-0.003657386288</v>
      </c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8">
        <v>44811.0</v>
      </c>
      <c r="B319" s="15">
        <v>707.0</v>
      </c>
      <c r="C319" s="15">
        <v>711.5</v>
      </c>
      <c r="D319" s="15">
        <v>701.599976</v>
      </c>
      <c r="E319" s="15">
        <v>706.450012</v>
      </c>
      <c r="F319" s="15">
        <v>697.860657</v>
      </c>
      <c r="G319" s="15">
        <v>1244503.0</v>
      </c>
      <c r="H319" s="19">
        <f t="shared" si="1"/>
        <v>-0.002611853779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>
        <v>44812.0</v>
      </c>
      <c r="B320" s="15">
        <v>713.200012</v>
      </c>
      <c r="C320" s="15">
        <v>724.0</v>
      </c>
      <c r="D320" s="15">
        <v>709.150024</v>
      </c>
      <c r="E320" s="15">
        <v>714.799988</v>
      </c>
      <c r="F320" s="15">
        <v>706.10907</v>
      </c>
      <c r="G320" s="15">
        <v>2501592.0</v>
      </c>
      <c r="H320" s="19">
        <f t="shared" si="1"/>
        <v>0.01181962752</v>
      </c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8">
        <v>44813.0</v>
      </c>
      <c r="B321" s="15">
        <v>718.5</v>
      </c>
      <c r="C321" s="15">
        <v>721.450012</v>
      </c>
      <c r="D321" s="15">
        <v>710.0</v>
      </c>
      <c r="E321" s="15">
        <v>711.799988</v>
      </c>
      <c r="F321" s="15">
        <v>703.145569</v>
      </c>
      <c r="G321" s="15">
        <v>1383138.0</v>
      </c>
      <c r="H321" s="19">
        <f t="shared" si="1"/>
        <v>-0.004196978246</v>
      </c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>
        <v>44816.0</v>
      </c>
      <c r="B322" s="15">
        <v>715.0</v>
      </c>
      <c r="C322" s="15">
        <v>725.0</v>
      </c>
      <c r="D322" s="15">
        <v>713.5</v>
      </c>
      <c r="E322" s="15">
        <v>721.299988</v>
      </c>
      <c r="F322" s="15">
        <v>712.53009</v>
      </c>
      <c r="G322" s="15">
        <v>2318918.0</v>
      </c>
      <c r="H322" s="19">
        <f t="shared" si="1"/>
        <v>0.01334644586</v>
      </c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8">
        <v>44817.0</v>
      </c>
      <c r="B323" s="15">
        <v>724.950012</v>
      </c>
      <c r="C323" s="15">
        <v>727.700012</v>
      </c>
      <c r="D323" s="15">
        <v>718.0</v>
      </c>
      <c r="E323" s="15">
        <v>719.950012</v>
      </c>
      <c r="F323" s="15">
        <v>711.196472</v>
      </c>
      <c r="G323" s="15">
        <v>1479262.0</v>
      </c>
      <c r="H323" s="19">
        <f t="shared" si="1"/>
        <v>-0.001871587443</v>
      </c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>
        <v>44818.0</v>
      </c>
      <c r="B324" s="15">
        <v>712.0</v>
      </c>
      <c r="C324" s="15">
        <v>718.650024</v>
      </c>
      <c r="D324" s="15">
        <v>708.049988</v>
      </c>
      <c r="E324" s="15">
        <v>712.849976</v>
      </c>
      <c r="F324" s="15">
        <v>704.1828</v>
      </c>
      <c r="G324" s="15">
        <v>1269173.0</v>
      </c>
      <c r="H324" s="19">
        <f t="shared" si="1"/>
        <v>-0.009861845797</v>
      </c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8">
        <v>44819.0</v>
      </c>
      <c r="B325" s="15">
        <v>716.450012</v>
      </c>
      <c r="C325" s="15">
        <v>738.0</v>
      </c>
      <c r="D325" s="15">
        <v>715.099976</v>
      </c>
      <c r="E325" s="15">
        <v>724.349976</v>
      </c>
      <c r="F325" s="15">
        <v>715.542908</v>
      </c>
      <c r="G325" s="15">
        <v>5718669.0</v>
      </c>
      <c r="H325" s="19">
        <f t="shared" si="1"/>
        <v>0.01613242672</v>
      </c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>
        <v>44820.0</v>
      </c>
      <c r="B326" s="15">
        <v>724.400024</v>
      </c>
      <c r="C326" s="15">
        <v>730.349976</v>
      </c>
      <c r="D326" s="15">
        <v>692.0</v>
      </c>
      <c r="E326" s="15">
        <v>703.0</v>
      </c>
      <c r="F326" s="15">
        <v>694.452576</v>
      </c>
      <c r="G326" s="15">
        <v>3745099.0</v>
      </c>
      <c r="H326" s="19">
        <f t="shared" si="1"/>
        <v>-0.0294746693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8">
        <v>44823.0</v>
      </c>
      <c r="B327" s="15">
        <v>704.900024</v>
      </c>
      <c r="C327" s="15">
        <v>709.400024</v>
      </c>
      <c r="D327" s="15">
        <v>689.799988</v>
      </c>
      <c r="E327" s="15">
        <v>692.0</v>
      </c>
      <c r="F327" s="15">
        <v>683.586304</v>
      </c>
      <c r="G327" s="15">
        <v>2263251.0</v>
      </c>
      <c r="H327" s="19">
        <f t="shared" si="1"/>
        <v>-0.01564722617</v>
      </c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>
        <v>44824.0</v>
      </c>
      <c r="B328" s="15">
        <v>699.900024</v>
      </c>
      <c r="C328" s="15">
        <v>715.0</v>
      </c>
      <c r="D328" s="15">
        <v>698.400024</v>
      </c>
      <c r="E328" s="15">
        <v>706.150024</v>
      </c>
      <c r="F328" s="15">
        <v>697.564331</v>
      </c>
      <c r="G328" s="15">
        <v>2330872.0</v>
      </c>
      <c r="H328" s="19">
        <f t="shared" si="1"/>
        <v>0.02044801156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8">
        <v>44825.0</v>
      </c>
      <c r="B329" s="15">
        <v>707.950012</v>
      </c>
      <c r="C329" s="15">
        <v>712.950012</v>
      </c>
      <c r="D329" s="15">
        <v>695.799988</v>
      </c>
      <c r="E329" s="15">
        <v>700.349976</v>
      </c>
      <c r="F329" s="15">
        <v>691.834778</v>
      </c>
      <c r="G329" s="15">
        <v>1419089.0</v>
      </c>
      <c r="H329" s="19">
        <f t="shared" si="1"/>
        <v>-0.008213620056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>
        <v>44826.0</v>
      </c>
      <c r="B330" s="15">
        <v>700.0</v>
      </c>
      <c r="C330" s="15">
        <v>705.0</v>
      </c>
      <c r="D330" s="15">
        <v>693.099976</v>
      </c>
      <c r="E330" s="15">
        <v>700.900024</v>
      </c>
      <c r="F330" s="15">
        <v>692.378113</v>
      </c>
      <c r="G330" s="15">
        <v>1654457.0</v>
      </c>
      <c r="H330" s="19">
        <f t="shared" si="1"/>
        <v>0.000785390189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8">
        <v>44827.0</v>
      </c>
      <c r="B331" s="15">
        <v>703.5</v>
      </c>
      <c r="C331" s="15">
        <v>706.849976</v>
      </c>
      <c r="D331" s="15">
        <v>684.0</v>
      </c>
      <c r="E331" s="15">
        <v>685.799988</v>
      </c>
      <c r="F331" s="15">
        <v>677.46167</v>
      </c>
      <c r="G331" s="15">
        <v>1804335.0</v>
      </c>
      <c r="H331" s="19">
        <f t="shared" si="1"/>
        <v>-0.02154378012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>
        <v>44830.0</v>
      </c>
      <c r="B332" s="15">
        <v>680.0</v>
      </c>
      <c r="C332" s="15">
        <v>681.400024</v>
      </c>
      <c r="D332" s="15">
        <v>661.0</v>
      </c>
      <c r="E332" s="15">
        <v>664.5</v>
      </c>
      <c r="F332" s="15">
        <v>656.420593</v>
      </c>
      <c r="G332" s="15">
        <v>3249490.0</v>
      </c>
      <c r="H332" s="19">
        <f t="shared" si="1"/>
        <v>-0.03105860072</v>
      </c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8">
        <v>44831.0</v>
      </c>
      <c r="B333" s="15">
        <v>668.0</v>
      </c>
      <c r="C333" s="15">
        <v>681.700012</v>
      </c>
      <c r="D333" s="15">
        <v>664.049988</v>
      </c>
      <c r="E333" s="15">
        <v>676.650024</v>
      </c>
      <c r="F333" s="15">
        <v>668.422913</v>
      </c>
      <c r="G333" s="15">
        <v>2808630.0</v>
      </c>
      <c r="H333" s="19">
        <f t="shared" si="1"/>
        <v>0.0182844605</v>
      </c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>
        <v>44832.0</v>
      </c>
      <c r="B334" s="15">
        <v>671.900024</v>
      </c>
      <c r="C334" s="15">
        <v>682.900024</v>
      </c>
      <c r="D334" s="15">
        <v>666.700012</v>
      </c>
      <c r="E334" s="15">
        <v>680.099976</v>
      </c>
      <c r="F334" s="15">
        <v>671.830994</v>
      </c>
      <c r="G334" s="15">
        <v>2044821.0</v>
      </c>
      <c r="H334" s="19">
        <f t="shared" si="1"/>
        <v>0.005098576631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8">
        <v>44833.0</v>
      </c>
      <c r="B335" s="15">
        <v>689.049988</v>
      </c>
      <c r="C335" s="15">
        <v>712.0</v>
      </c>
      <c r="D335" s="15">
        <v>684.5</v>
      </c>
      <c r="E335" s="15">
        <v>707.0</v>
      </c>
      <c r="F335" s="15">
        <v>698.403931</v>
      </c>
      <c r="G335" s="15">
        <v>5846347.0</v>
      </c>
      <c r="H335" s="19">
        <f t="shared" si="1"/>
        <v>0.0395530436</v>
      </c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>
        <v>44834.0</v>
      </c>
      <c r="B336" s="15">
        <v>705.0</v>
      </c>
      <c r="C336" s="15">
        <v>712.0</v>
      </c>
      <c r="D336" s="15">
        <v>695.200012</v>
      </c>
      <c r="E336" s="15">
        <v>706.0</v>
      </c>
      <c r="F336" s="15">
        <v>697.416077</v>
      </c>
      <c r="G336" s="15">
        <v>3220279.0</v>
      </c>
      <c r="H336" s="19">
        <f t="shared" si="1"/>
        <v>-0.001414427157</v>
      </c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8">
        <v>44837.0</v>
      </c>
      <c r="B337" s="15">
        <v>705.950012</v>
      </c>
      <c r="C337" s="15">
        <v>709.450012</v>
      </c>
      <c r="D337" s="15">
        <v>700.099976</v>
      </c>
      <c r="E337" s="15">
        <v>706.150024</v>
      </c>
      <c r="F337" s="15">
        <v>697.564331</v>
      </c>
      <c r="G337" s="15">
        <v>1735784.0</v>
      </c>
      <c r="H337" s="19">
        <f t="shared" si="1"/>
        <v>0.0002124985836</v>
      </c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>
        <v>44838.0</v>
      </c>
      <c r="B338" s="15">
        <v>714.0</v>
      </c>
      <c r="C338" s="15">
        <v>720.0</v>
      </c>
      <c r="D338" s="15">
        <v>708.700012</v>
      </c>
      <c r="E338" s="15">
        <v>719.25</v>
      </c>
      <c r="F338" s="15">
        <v>710.505005</v>
      </c>
      <c r="G338" s="15">
        <v>2443139.0</v>
      </c>
      <c r="H338" s="19">
        <f t="shared" si="1"/>
        <v>0.01855126468</v>
      </c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8">
        <v>44840.0</v>
      </c>
      <c r="B339" s="15">
        <v>725.799988</v>
      </c>
      <c r="C339" s="15">
        <v>734.700012</v>
      </c>
      <c r="D339" s="15">
        <v>720.049988</v>
      </c>
      <c r="E339" s="15">
        <v>731.25</v>
      </c>
      <c r="F339" s="15">
        <v>722.359131</v>
      </c>
      <c r="G339" s="15">
        <v>4123619.0</v>
      </c>
      <c r="H339" s="19">
        <f t="shared" si="1"/>
        <v>0.01668404588</v>
      </c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>
        <v>44841.0</v>
      </c>
      <c r="B340" s="15">
        <v>733.0</v>
      </c>
      <c r="C340" s="15">
        <v>737.599976</v>
      </c>
      <c r="D340" s="15">
        <v>724.049988</v>
      </c>
      <c r="E340" s="15">
        <v>735.25</v>
      </c>
      <c r="F340" s="15">
        <v>726.310486</v>
      </c>
      <c r="G340" s="15">
        <v>3152365.0</v>
      </c>
      <c r="H340" s="19">
        <f t="shared" si="1"/>
        <v>0.00547008547</v>
      </c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8">
        <v>44844.0</v>
      </c>
      <c r="B341" s="15">
        <v>725.5</v>
      </c>
      <c r="C341" s="15">
        <v>735.450012</v>
      </c>
      <c r="D341" s="15">
        <v>722.849976</v>
      </c>
      <c r="E341" s="15">
        <v>731.200012</v>
      </c>
      <c r="F341" s="15">
        <v>722.309692</v>
      </c>
      <c r="G341" s="15">
        <v>1952447.0</v>
      </c>
      <c r="H341" s="19">
        <f t="shared" si="1"/>
        <v>-0.005508314179</v>
      </c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>
        <v>44845.0</v>
      </c>
      <c r="B342" s="15">
        <v>735.0</v>
      </c>
      <c r="C342" s="15">
        <v>746.599976</v>
      </c>
      <c r="D342" s="15">
        <v>721.099976</v>
      </c>
      <c r="E342" s="15">
        <v>725.599976</v>
      </c>
      <c r="F342" s="15">
        <v>716.77771</v>
      </c>
      <c r="G342" s="15">
        <v>3747651.0</v>
      </c>
      <c r="H342" s="19">
        <f t="shared" si="1"/>
        <v>-0.007658692434</v>
      </c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8">
        <v>44846.0</v>
      </c>
      <c r="B343" s="15">
        <v>730.0</v>
      </c>
      <c r="C343" s="15">
        <v>734.700012</v>
      </c>
      <c r="D343" s="15">
        <v>706.549988</v>
      </c>
      <c r="E343" s="15">
        <v>722.299988</v>
      </c>
      <c r="F343" s="15">
        <v>713.517944</v>
      </c>
      <c r="G343" s="15">
        <v>2818945.0</v>
      </c>
      <c r="H343" s="19">
        <f t="shared" si="1"/>
        <v>-0.004547943921</v>
      </c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>
        <v>44847.0</v>
      </c>
      <c r="B344" s="15">
        <v>722.0</v>
      </c>
      <c r="C344" s="15">
        <v>727.900024</v>
      </c>
      <c r="D344" s="15">
        <v>711.599976</v>
      </c>
      <c r="E344" s="15">
        <v>724.099976</v>
      </c>
      <c r="F344" s="15">
        <v>715.295959</v>
      </c>
      <c r="G344" s="15">
        <v>1887973.0</v>
      </c>
      <c r="H344" s="19">
        <f t="shared" si="1"/>
        <v>0.002492022747</v>
      </c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8">
        <v>44848.0</v>
      </c>
      <c r="B345" s="15">
        <v>732.0</v>
      </c>
      <c r="C345" s="15">
        <v>733.950012</v>
      </c>
      <c r="D345" s="15">
        <v>719.400024</v>
      </c>
      <c r="E345" s="15">
        <v>722.849976</v>
      </c>
      <c r="F345" s="15">
        <v>714.061218</v>
      </c>
      <c r="G345" s="15">
        <v>1612489.0</v>
      </c>
      <c r="H345" s="19">
        <f t="shared" si="1"/>
        <v>-0.001726280958</v>
      </c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>
        <v>44851.0</v>
      </c>
      <c r="B346" s="15">
        <v>719.200012</v>
      </c>
      <c r="C346" s="15">
        <v>729.799988</v>
      </c>
      <c r="D346" s="15">
        <v>712.349976</v>
      </c>
      <c r="E346" s="15">
        <v>728.0</v>
      </c>
      <c r="F346" s="15">
        <v>719.148621</v>
      </c>
      <c r="G346" s="15">
        <v>1387810.0</v>
      </c>
      <c r="H346" s="19">
        <f t="shared" si="1"/>
        <v>0.007124609768</v>
      </c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8">
        <v>44852.0</v>
      </c>
      <c r="B347" s="15">
        <v>731.650024</v>
      </c>
      <c r="C347" s="15">
        <v>734.700012</v>
      </c>
      <c r="D347" s="15">
        <v>725.0</v>
      </c>
      <c r="E347" s="15">
        <v>731.150024</v>
      </c>
      <c r="F347" s="15">
        <v>722.260315</v>
      </c>
      <c r="G347" s="15">
        <v>1675213.0</v>
      </c>
      <c r="H347" s="19">
        <f t="shared" si="1"/>
        <v>0.004326956044</v>
      </c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>
        <v>44853.0</v>
      </c>
      <c r="B348" s="15">
        <v>733.0</v>
      </c>
      <c r="C348" s="15">
        <v>755.450012</v>
      </c>
      <c r="D348" s="15">
        <v>730.200012</v>
      </c>
      <c r="E348" s="15">
        <v>742.799988</v>
      </c>
      <c r="F348" s="15">
        <v>733.768677</v>
      </c>
      <c r="G348" s="15">
        <v>6094000.0</v>
      </c>
      <c r="H348" s="19">
        <f t="shared" si="1"/>
        <v>0.01593375315</v>
      </c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8">
        <v>44854.0</v>
      </c>
      <c r="B349" s="15">
        <v>738.950012</v>
      </c>
      <c r="C349" s="15">
        <v>745.0</v>
      </c>
      <c r="D349" s="15">
        <v>725.599976</v>
      </c>
      <c r="E349" s="15">
        <v>742.650024</v>
      </c>
      <c r="F349" s="15">
        <v>733.620483</v>
      </c>
      <c r="G349" s="15">
        <v>2237769.0</v>
      </c>
      <c r="H349" s="19">
        <f t="shared" si="1"/>
        <v>-0.0002018901487</v>
      </c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>
        <v>44855.0</v>
      </c>
      <c r="B350" s="15">
        <v>743.0</v>
      </c>
      <c r="C350" s="15">
        <v>756.0</v>
      </c>
      <c r="D350" s="15">
        <v>735.299988</v>
      </c>
      <c r="E350" s="15">
        <v>743.549988</v>
      </c>
      <c r="F350" s="15">
        <v>734.509521</v>
      </c>
      <c r="G350" s="15">
        <v>2936578.0</v>
      </c>
      <c r="H350" s="19">
        <f t="shared" si="1"/>
        <v>0.001211827874</v>
      </c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8">
        <v>44858.0</v>
      </c>
      <c r="B351" s="15">
        <v>749.0</v>
      </c>
      <c r="C351" s="15">
        <v>750.450012</v>
      </c>
      <c r="D351" s="15">
        <v>740.049988</v>
      </c>
      <c r="E351" s="15">
        <v>743.799988</v>
      </c>
      <c r="F351" s="15">
        <v>734.75647</v>
      </c>
      <c r="G351" s="15">
        <v>649393.0</v>
      </c>
      <c r="H351" s="19">
        <f t="shared" si="1"/>
        <v>0.0003362248726</v>
      </c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>
        <v>44859.0</v>
      </c>
      <c r="B352" s="15">
        <v>742.25</v>
      </c>
      <c r="C352" s="15">
        <v>747.0</v>
      </c>
      <c r="D352" s="15">
        <v>735.599976</v>
      </c>
      <c r="E352" s="15">
        <v>740.400024</v>
      </c>
      <c r="F352" s="15">
        <v>731.397888</v>
      </c>
      <c r="G352" s="15">
        <v>1544325.0</v>
      </c>
      <c r="H352" s="19">
        <f t="shared" si="1"/>
        <v>-0.004571072943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8">
        <v>44861.0</v>
      </c>
      <c r="B353" s="15">
        <v>746.0</v>
      </c>
      <c r="C353" s="15">
        <v>746.900024</v>
      </c>
      <c r="D353" s="15">
        <v>736.799988</v>
      </c>
      <c r="E353" s="15">
        <v>741.25</v>
      </c>
      <c r="F353" s="15">
        <v>732.237488</v>
      </c>
      <c r="G353" s="15">
        <v>1783787.0</v>
      </c>
      <c r="H353" s="19">
        <f t="shared" si="1"/>
        <v>0.001147995641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>
        <v>44862.0</v>
      </c>
      <c r="B354" s="15">
        <v>741.299988</v>
      </c>
      <c r="C354" s="15">
        <v>744.799988</v>
      </c>
      <c r="D354" s="15">
        <v>735.25</v>
      </c>
      <c r="E354" s="15">
        <v>739.400024</v>
      </c>
      <c r="F354" s="15">
        <v>730.409973</v>
      </c>
      <c r="G354" s="15">
        <v>1484665.0</v>
      </c>
      <c r="H354" s="19">
        <f t="shared" si="1"/>
        <v>-0.002495751771</v>
      </c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8">
        <v>44865.0</v>
      </c>
      <c r="B355" s="15">
        <v>744.0</v>
      </c>
      <c r="C355" s="15">
        <v>752.849976</v>
      </c>
      <c r="D355" s="15">
        <v>738.0</v>
      </c>
      <c r="E355" s="15">
        <v>741.200012</v>
      </c>
      <c r="F355" s="15">
        <v>732.18811</v>
      </c>
      <c r="G355" s="15">
        <v>1993381.0</v>
      </c>
      <c r="H355" s="19">
        <f t="shared" si="1"/>
        <v>0.002434389967</v>
      </c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>
        <v>44866.0</v>
      </c>
      <c r="B356" s="15">
        <v>745.0</v>
      </c>
      <c r="C356" s="15">
        <v>747.650024</v>
      </c>
      <c r="D356" s="15">
        <v>739.349976</v>
      </c>
      <c r="E356" s="15">
        <v>742.25</v>
      </c>
      <c r="F356" s="15">
        <v>733.225342</v>
      </c>
      <c r="G356" s="15">
        <v>1359226.0</v>
      </c>
      <c r="H356" s="19">
        <f t="shared" si="1"/>
        <v>0.001416605482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8">
        <v>44867.0</v>
      </c>
      <c r="B357" s="15">
        <v>742.0</v>
      </c>
      <c r="C357" s="15">
        <v>761.299988</v>
      </c>
      <c r="D357" s="15">
        <v>738.25</v>
      </c>
      <c r="E357" s="15">
        <v>755.450012</v>
      </c>
      <c r="F357" s="15">
        <v>746.264832</v>
      </c>
      <c r="G357" s="15">
        <v>3424051.0</v>
      </c>
      <c r="H357" s="19">
        <f t="shared" si="1"/>
        <v>0.01778378174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>
        <v>44868.0</v>
      </c>
      <c r="B358" s="15">
        <v>751.950012</v>
      </c>
      <c r="C358" s="15">
        <v>760.0</v>
      </c>
      <c r="D358" s="15">
        <v>746.0</v>
      </c>
      <c r="E358" s="15">
        <v>751.400024</v>
      </c>
      <c r="F358" s="15">
        <v>742.264099</v>
      </c>
      <c r="G358" s="15">
        <v>2828562.0</v>
      </c>
      <c r="H358" s="19">
        <f t="shared" si="1"/>
        <v>-0.005361027117</v>
      </c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8">
        <v>44869.0</v>
      </c>
      <c r="B359" s="15">
        <v>752.0</v>
      </c>
      <c r="C359" s="15">
        <v>766.450012</v>
      </c>
      <c r="D359" s="15">
        <v>748.049988</v>
      </c>
      <c r="E359" s="15">
        <v>758.5</v>
      </c>
      <c r="F359" s="15">
        <v>749.277771</v>
      </c>
      <c r="G359" s="15">
        <v>4743835.0</v>
      </c>
      <c r="H359" s="19">
        <f t="shared" si="1"/>
        <v>0.009448996238</v>
      </c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>
        <v>44872.0</v>
      </c>
      <c r="B360" s="15">
        <v>762.299988</v>
      </c>
      <c r="C360" s="15">
        <v>774.900024</v>
      </c>
      <c r="D360" s="15">
        <v>761.5</v>
      </c>
      <c r="E360" s="15">
        <v>763.900024</v>
      </c>
      <c r="F360" s="15">
        <v>754.612061</v>
      </c>
      <c r="G360" s="15">
        <v>4583239.0</v>
      </c>
      <c r="H360" s="19">
        <f t="shared" si="1"/>
        <v>0.007119346078</v>
      </c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8">
        <v>44874.0</v>
      </c>
      <c r="B361" s="15">
        <v>769.5</v>
      </c>
      <c r="C361" s="15">
        <v>771.0</v>
      </c>
      <c r="D361" s="15">
        <v>759.5</v>
      </c>
      <c r="E361" s="15">
        <v>761.25</v>
      </c>
      <c r="F361" s="15">
        <v>751.994263</v>
      </c>
      <c r="G361" s="15">
        <v>1566292.0</v>
      </c>
      <c r="H361" s="19">
        <f t="shared" si="1"/>
        <v>-0.003469071759</v>
      </c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>
        <v>44875.0</v>
      </c>
      <c r="B362" s="15">
        <v>762.0</v>
      </c>
      <c r="C362" s="15">
        <v>763.0</v>
      </c>
      <c r="D362" s="15">
        <v>738.0</v>
      </c>
      <c r="E362" s="15">
        <v>744.450012</v>
      </c>
      <c r="F362" s="15">
        <v>735.398621</v>
      </c>
      <c r="G362" s="15">
        <v>2557799.0</v>
      </c>
      <c r="H362" s="19">
        <f t="shared" si="1"/>
        <v>-0.02206894975</v>
      </c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8">
        <v>44876.0</v>
      </c>
      <c r="B363" s="15">
        <v>755.0</v>
      </c>
      <c r="C363" s="15">
        <v>757.700012</v>
      </c>
      <c r="D363" s="15">
        <v>744.5</v>
      </c>
      <c r="E363" s="15">
        <v>747.799988</v>
      </c>
      <c r="F363" s="15">
        <v>738.707825</v>
      </c>
      <c r="G363" s="15">
        <v>1668424.0</v>
      </c>
      <c r="H363" s="19">
        <f t="shared" si="1"/>
        <v>0.004499934107</v>
      </c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>
        <v>44879.0</v>
      </c>
      <c r="B364" s="15">
        <v>751.700012</v>
      </c>
      <c r="C364" s="15">
        <v>765.0</v>
      </c>
      <c r="D364" s="15">
        <v>750.049988</v>
      </c>
      <c r="E364" s="15">
        <v>758.799988</v>
      </c>
      <c r="F364" s="15">
        <v>749.574158</v>
      </c>
      <c r="G364" s="15">
        <v>2342968.0</v>
      </c>
      <c r="H364" s="19">
        <f t="shared" si="1"/>
        <v>0.01470981569</v>
      </c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8">
        <v>44880.0</v>
      </c>
      <c r="B365" s="15">
        <v>750.0</v>
      </c>
      <c r="C365" s="15">
        <v>750.0</v>
      </c>
      <c r="D365" s="15">
        <v>731.549988</v>
      </c>
      <c r="E365" s="15">
        <v>740.650024</v>
      </c>
      <c r="F365" s="15">
        <v>731.644775</v>
      </c>
      <c r="G365" s="15">
        <v>4125858.0</v>
      </c>
      <c r="H365" s="19">
        <f t="shared" si="1"/>
        <v>-0.02391929927</v>
      </c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>
        <v>44881.0</v>
      </c>
      <c r="B366" s="15">
        <v>742.0</v>
      </c>
      <c r="C366" s="15">
        <v>748.799988</v>
      </c>
      <c r="D366" s="15">
        <v>722.049988</v>
      </c>
      <c r="E366" s="15">
        <v>728.150024</v>
      </c>
      <c r="F366" s="15">
        <v>719.296753</v>
      </c>
      <c r="G366" s="15">
        <v>2945626.0</v>
      </c>
      <c r="H366" s="19">
        <f t="shared" si="1"/>
        <v>-0.01687706689</v>
      </c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8">
        <v>44882.0</v>
      </c>
      <c r="B367" s="15">
        <v>723.0</v>
      </c>
      <c r="C367" s="15">
        <v>738.450012</v>
      </c>
      <c r="D367" s="15">
        <v>723.0</v>
      </c>
      <c r="E367" s="15">
        <v>726.450012</v>
      </c>
      <c r="F367" s="15">
        <v>717.617432</v>
      </c>
      <c r="G367" s="15">
        <v>1607026.0</v>
      </c>
      <c r="H367" s="19">
        <f t="shared" si="1"/>
        <v>-0.002334700191</v>
      </c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>
        <v>44883.0</v>
      </c>
      <c r="B368" s="15">
        <v>731.0</v>
      </c>
      <c r="C368" s="15">
        <v>733.0</v>
      </c>
      <c r="D368" s="15">
        <v>714.349976</v>
      </c>
      <c r="E368" s="15">
        <v>718.099976</v>
      </c>
      <c r="F368" s="15">
        <v>709.368958</v>
      </c>
      <c r="G368" s="15">
        <v>1537039.0</v>
      </c>
      <c r="H368" s="19">
        <f t="shared" si="1"/>
        <v>-0.01149430224</v>
      </c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8">
        <v>44886.0</v>
      </c>
      <c r="B369" s="15">
        <v>711.0</v>
      </c>
      <c r="C369" s="15">
        <v>722.049988</v>
      </c>
      <c r="D369" s="15">
        <v>710.599976</v>
      </c>
      <c r="E369" s="15">
        <v>715.549988</v>
      </c>
      <c r="F369" s="15">
        <v>706.849915</v>
      </c>
      <c r="G369" s="15">
        <v>1154333.0</v>
      </c>
      <c r="H369" s="19">
        <f t="shared" si="1"/>
        <v>-0.003551020868</v>
      </c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>
        <v>44887.0</v>
      </c>
      <c r="B370" s="15">
        <v>714.0</v>
      </c>
      <c r="C370" s="15">
        <v>719.0</v>
      </c>
      <c r="D370" s="15">
        <v>713.0</v>
      </c>
      <c r="E370" s="15">
        <v>715.150024</v>
      </c>
      <c r="F370" s="15">
        <v>706.454834</v>
      </c>
      <c r="G370" s="15">
        <v>876182.0</v>
      </c>
      <c r="H370" s="19">
        <f t="shared" si="1"/>
        <v>-0.0005589602497</v>
      </c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8">
        <v>44888.0</v>
      </c>
      <c r="B371" s="15">
        <v>718.75</v>
      </c>
      <c r="C371" s="15">
        <v>724.400024</v>
      </c>
      <c r="D371" s="15">
        <v>717.200012</v>
      </c>
      <c r="E371" s="15">
        <v>721.799988</v>
      </c>
      <c r="F371" s="15">
        <v>713.023987</v>
      </c>
      <c r="G371" s="15">
        <v>1116201.0</v>
      </c>
      <c r="H371" s="19">
        <f t="shared" si="1"/>
        <v>0.009298697863</v>
      </c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>
        <v>44889.0</v>
      </c>
      <c r="B372" s="15">
        <v>722.0</v>
      </c>
      <c r="C372" s="15">
        <v>727.799988</v>
      </c>
      <c r="D372" s="15">
        <v>721.400024</v>
      </c>
      <c r="E372" s="15">
        <v>723.549988</v>
      </c>
      <c r="F372" s="15">
        <v>714.752625</v>
      </c>
      <c r="G372" s="15">
        <v>1110302.0</v>
      </c>
      <c r="H372" s="19">
        <f t="shared" si="1"/>
        <v>0.00242449436</v>
      </c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8">
        <v>44890.0</v>
      </c>
      <c r="B373" s="15">
        <v>727.950012</v>
      </c>
      <c r="C373" s="15">
        <v>727.950012</v>
      </c>
      <c r="D373" s="15">
        <v>720.0</v>
      </c>
      <c r="E373" s="15">
        <v>721.700012</v>
      </c>
      <c r="F373" s="15">
        <v>712.925232</v>
      </c>
      <c r="G373" s="15">
        <v>800689.0</v>
      </c>
      <c r="H373" s="19">
        <f t="shared" si="1"/>
        <v>-0.002556804686</v>
      </c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>
        <v>44893.0</v>
      </c>
      <c r="B374" s="15">
        <v>720.0</v>
      </c>
      <c r="C374" s="15">
        <v>735.799988</v>
      </c>
      <c r="D374" s="15">
        <v>719.0</v>
      </c>
      <c r="E374" s="15">
        <v>725.900024</v>
      </c>
      <c r="F374" s="15">
        <v>717.074158</v>
      </c>
      <c r="G374" s="15">
        <v>1780538.0</v>
      </c>
      <c r="H374" s="19">
        <f t="shared" si="1"/>
        <v>0.005819609159</v>
      </c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8">
        <v>44894.0</v>
      </c>
      <c r="B375" s="15">
        <v>722.049988</v>
      </c>
      <c r="C375" s="15">
        <v>729.400024</v>
      </c>
      <c r="D375" s="15">
        <v>720.099976</v>
      </c>
      <c r="E375" s="15">
        <v>723.0</v>
      </c>
      <c r="F375" s="15">
        <v>714.209412</v>
      </c>
      <c r="G375" s="15">
        <v>848626.0</v>
      </c>
      <c r="H375" s="19">
        <f t="shared" si="1"/>
        <v>-0.00399507357</v>
      </c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>
        <v>44895.0</v>
      </c>
      <c r="B376" s="15">
        <v>726.0</v>
      </c>
      <c r="C376" s="15">
        <v>739.400024</v>
      </c>
      <c r="D376" s="15">
        <v>726.0</v>
      </c>
      <c r="E376" s="15">
        <v>736.200012</v>
      </c>
      <c r="F376" s="15">
        <v>727.248901</v>
      </c>
      <c r="G376" s="15">
        <v>2643749.0</v>
      </c>
      <c r="H376" s="19">
        <f t="shared" si="1"/>
        <v>0.01825727801</v>
      </c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8">
        <v>44896.0</v>
      </c>
      <c r="B377" s="15">
        <v>739.900024</v>
      </c>
      <c r="C377" s="15">
        <v>739.900024</v>
      </c>
      <c r="D377" s="15">
        <v>730.0</v>
      </c>
      <c r="E377" s="15">
        <v>731.950012</v>
      </c>
      <c r="F377" s="15">
        <v>723.050598</v>
      </c>
      <c r="G377" s="15">
        <v>1155151.0</v>
      </c>
      <c r="H377" s="19">
        <f t="shared" si="1"/>
        <v>-0.005772887708</v>
      </c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>
        <v>44897.0</v>
      </c>
      <c r="B378" s="15">
        <v>735.0</v>
      </c>
      <c r="C378" s="15">
        <v>735.0</v>
      </c>
      <c r="D378" s="15">
        <v>727.299988</v>
      </c>
      <c r="E378" s="15">
        <v>730.099976</v>
      </c>
      <c r="F378" s="15">
        <v>721.223083</v>
      </c>
      <c r="G378" s="15">
        <v>926912.0</v>
      </c>
      <c r="H378" s="19">
        <f t="shared" si="1"/>
        <v>-0.00252754419</v>
      </c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8">
        <v>44900.0</v>
      </c>
      <c r="B379" s="15">
        <v>733.0</v>
      </c>
      <c r="C379" s="15">
        <v>733.700012</v>
      </c>
      <c r="D379" s="15">
        <v>725.099976</v>
      </c>
      <c r="E379" s="15">
        <v>729.099976</v>
      </c>
      <c r="F379" s="15">
        <v>720.235168</v>
      </c>
      <c r="G379" s="15">
        <v>1114128.0</v>
      </c>
      <c r="H379" s="19">
        <f t="shared" si="1"/>
        <v>-0.001369675432</v>
      </c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>
        <v>44901.0</v>
      </c>
      <c r="B380" s="15">
        <v>728.900024</v>
      </c>
      <c r="C380" s="15">
        <v>742.5</v>
      </c>
      <c r="D380" s="15">
        <v>714.099976</v>
      </c>
      <c r="E380" s="15">
        <v>716.450012</v>
      </c>
      <c r="F380" s="15">
        <v>707.739075</v>
      </c>
      <c r="G380" s="15">
        <v>3646370.0</v>
      </c>
      <c r="H380" s="19">
        <f t="shared" si="1"/>
        <v>-0.01735010892</v>
      </c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8">
        <v>44902.0</v>
      </c>
      <c r="B381" s="15">
        <v>717.5</v>
      </c>
      <c r="C381" s="15">
        <v>722.75</v>
      </c>
      <c r="D381" s="15">
        <v>712.450012</v>
      </c>
      <c r="E381" s="15">
        <v>717.299988</v>
      </c>
      <c r="F381" s="15">
        <v>708.578674</v>
      </c>
      <c r="G381" s="15">
        <v>1847900.0</v>
      </c>
      <c r="H381" s="19">
        <f t="shared" si="1"/>
        <v>0.001186371674</v>
      </c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>
        <v>44903.0</v>
      </c>
      <c r="B382" s="15">
        <v>721.599976</v>
      </c>
      <c r="C382" s="15">
        <v>722.549988</v>
      </c>
      <c r="D382" s="15">
        <v>715.5</v>
      </c>
      <c r="E382" s="15">
        <v>720.650024</v>
      </c>
      <c r="F382" s="15">
        <v>711.888</v>
      </c>
      <c r="G382" s="15">
        <v>1090422.0</v>
      </c>
      <c r="H382" s="19">
        <f t="shared" si="1"/>
        <v>0.004670341637</v>
      </c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8">
        <v>44904.0</v>
      </c>
      <c r="B383" s="15">
        <v>722.5</v>
      </c>
      <c r="C383" s="15">
        <v>727.5</v>
      </c>
      <c r="D383" s="15">
        <v>717.75</v>
      </c>
      <c r="E383" s="15">
        <v>722.150024</v>
      </c>
      <c r="F383" s="15">
        <v>713.369751</v>
      </c>
      <c r="G383" s="15">
        <v>1253279.0</v>
      </c>
      <c r="H383" s="19">
        <f t="shared" si="1"/>
        <v>0.002081454173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>
        <v>44907.0</v>
      </c>
      <c r="B384" s="15">
        <v>720.950012</v>
      </c>
      <c r="C384" s="15">
        <v>725.0</v>
      </c>
      <c r="D384" s="15">
        <v>710.5</v>
      </c>
      <c r="E384" s="15">
        <v>723.900024</v>
      </c>
      <c r="F384" s="15">
        <v>715.09845</v>
      </c>
      <c r="G384" s="15">
        <v>1082376.0</v>
      </c>
      <c r="H384" s="19">
        <f t="shared" si="1"/>
        <v>0.002423319174</v>
      </c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8">
        <v>44908.0</v>
      </c>
      <c r="B385" s="15">
        <v>724.5</v>
      </c>
      <c r="C385" s="15">
        <v>730.400024</v>
      </c>
      <c r="D385" s="15">
        <v>721.0</v>
      </c>
      <c r="E385" s="15">
        <v>722.849976</v>
      </c>
      <c r="F385" s="15">
        <v>714.061218</v>
      </c>
      <c r="G385" s="15">
        <v>1172294.0</v>
      </c>
      <c r="H385" s="19">
        <f t="shared" si="1"/>
        <v>-0.001450542845</v>
      </c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>
        <v>44909.0</v>
      </c>
      <c r="B386" s="15">
        <v>725.0</v>
      </c>
      <c r="C386" s="15">
        <v>739.900024</v>
      </c>
      <c r="D386" s="15">
        <v>723.650024</v>
      </c>
      <c r="E386" s="15">
        <v>734.900024</v>
      </c>
      <c r="F386" s="15">
        <v>725.964722</v>
      </c>
      <c r="G386" s="15">
        <v>1858776.0</v>
      </c>
      <c r="H386" s="19">
        <f t="shared" si="1"/>
        <v>0.01667019216</v>
      </c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8">
        <v>44910.0</v>
      </c>
      <c r="B387" s="15">
        <v>698.5</v>
      </c>
      <c r="C387" s="15">
        <v>702.5</v>
      </c>
      <c r="D387" s="15">
        <v>687.0</v>
      </c>
      <c r="E387" s="15">
        <v>689.049988</v>
      </c>
      <c r="F387" s="15">
        <v>680.672119</v>
      </c>
      <c r="G387" s="15">
        <v>1.4531256E7</v>
      </c>
      <c r="H387" s="19">
        <f t="shared" si="1"/>
        <v>-0.06238948769</v>
      </c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>
        <v>44911.0</v>
      </c>
      <c r="B388" s="15">
        <v>681.400024</v>
      </c>
      <c r="C388" s="15">
        <v>682.900024</v>
      </c>
      <c r="D388" s="15">
        <v>668.150024</v>
      </c>
      <c r="E388" s="15">
        <v>672.150024</v>
      </c>
      <c r="F388" s="15">
        <v>663.977661</v>
      </c>
      <c r="G388" s="15">
        <v>8857773.0</v>
      </c>
      <c r="H388" s="19">
        <f t="shared" si="1"/>
        <v>-0.0245264702</v>
      </c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8">
        <v>44914.0</v>
      </c>
      <c r="B389" s="15">
        <v>675.75</v>
      </c>
      <c r="C389" s="15">
        <v>681.599976</v>
      </c>
      <c r="D389" s="15">
        <v>673.0</v>
      </c>
      <c r="E389" s="15">
        <v>676.799988</v>
      </c>
      <c r="F389" s="15">
        <v>668.571045</v>
      </c>
      <c r="G389" s="15">
        <v>2696707.0</v>
      </c>
      <c r="H389" s="19">
        <f t="shared" si="1"/>
        <v>0.006918044832</v>
      </c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>
        <v>44915.0</v>
      </c>
      <c r="B390" s="15">
        <v>676.450012</v>
      </c>
      <c r="C390" s="15">
        <v>678.0</v>
      </c>
      <c r="D390" s="15">
        <v>667.0</v>
      </c>
      <c r="E390" s="15">
        <v>674.150024</v>
      </c>
      <c r="F390" s="15">
        <v>665.953308</v>
      </c>
      <c r="G390" s="15">
        <v>4253915.0</v>
      </c>
      <c r="H390" s="19">
        <f t="shared" si="1"/>
        <v>-0.003915431512</v>
      </c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8">
        <v>44916.0</v>
      </c>
      <c r="B391" s="15">
        <v>677.5</v>
      </c>
      <c r="C391" s="15">
        <v>678.700012</v>
      </c>
      <c r="D391" s="15">
        <v>650.150024</v>
      </c>
      <c r="E391" s="15">
        <v>653.549988</v>
      </c>
      <c r="F391" s="15">
        <v>645.60376</v>
      </c>
      <c r="G391" s="15">
        <v>3812361.0</v>
      </c>
      <c r="H391" s="19">
        <f t="shared" si="1"/>
        <v>-0.03055705001</v>
      </c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>
        <v>44917.0</v>
      </c>
      <c r="B392" s="15">
        <v>657.0</v>
      </c>
      <c r="C392" s="15">
        <v>657.450012</v>
      </c>
      <c r="D392" s="15">
        <v>632.25</v>
      </c>
      <c r="E392" s="15">
        <v>640.950012</v>
      </c>
      <c r="F392" s="15">
        <v>633.156982</v>
      </c>
      <c r="G392" s="15">
        <v>4836262.0</v>
      </c>
      <c r="H392" s="19">
        <f t="shared" si="1"/>
        <v>-0.01927928426</v>
      </c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8">
        <v>44918.0</v>
      </c>
      <c r="B393" s="15">
        <v>634.5</v>
      </c>
      <c r="C393" s="15">
        <v>638.049988</v>
      </c>
      <c r="D393" s="15">
        <v>605.0</v>
      </c>
      <c r="E393" s="15">
        <v>607.25</v>
      </c>
      <c r="F393" s="15">
        <v>599.86676</v>
      </c>
      <c r="G393" s="15">
        <v>7402977.0</v>
      </c>
      <c r="H393" s="19">
        <f t="shared" si="1"/>
        <v>-0.05257822197</v>
      </c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>
        <v>44921.0</v>
      </c>
      <c r="B394" s="15">
        <v>610.099976</v>
      </c>
      <c r="C394" s="15">
        <v>629.400024</v>
      </c>
      <c r="D394" s="15">
        <v>606.0</v>
      </c>
      <c r="E394" s="15">
        <v>622.049988</v>
      </c>
      <c r="F394" s="15">
        <v>614.486755</v>
      </c>
      <c r="G394" s="15">
        <v>3578861.0</v>
      </c>
      <c r="H394" s="19">
        <f t="shared" si="1"/>
        <v>0.02437214986</v>
      </c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8">
        <v>44922.0</v>
      </c>
      <c r="B395" s="15">
        <v>628.0</v>
      </c>
      <c r="C395" s="15">
        <v>634.950012</v>
      </c>
      <c r="D395" s="15">
        <v>623.049988</v>
      </c>
      <c r="E395" s="15">
        <v>633.099976</v>
      </c>
      <c r="F395" s="15">
        <v>625.402466</v>
      </c>
      <c r="G395" s="15">
        <v>2032618.0</v>
      </c>
      <c r="H395" s="19">
        <f t="shared" si="1"/>
        <v>0.0177638264</v>
      </c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>
        <v>44923.0</v>
      </c>
      <c r="B396" s="15">
        <v>635.0</v>
      </c>
      <c r="C396" s="15">
        <v>641.0</v>
      </c>
      <c r="D396" s="15">
        <v>630.450012</v>
      </c>
      <c r="E396" s="15">
        <v>638.75</v>
      </c>
      <c r="F396" s="15">
        <v>630.983704</v>
      </c>
      <c r="G396" s="15">
        <v>2067777.0</v>
      </c>
      <c r="H396" s="19">
        <f t="shared" si="1"/>
        <v>0.008924378794</v>
      </c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8">
        <v>44924.0</v>
      </c>
      <c r="B397" s="15">
        <v>636.0</v>
      </c>
      <c r="C397" s="15">
        <v>636.799988</v>
      </c>
      <c r="D397" s="15">
        <v>627.549988</v>
      </c>
      <c r="E397" s="15">
        <v>633.049988</v>
      </c>
      <c r="F397" s="15">
        <v>625.353027</v>
      </c>
      <c r="G397" s="15">
        <v>2332891.0</v>
      </c>
      <c r="H397" s="19">
        <f t="shared" si="1"/>
        <v>-0.008923697847</v>
      </c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>
        <v>44925.0</v>
      </c>
      <c r="B398" s="15">
        <v>638.0</v>
      </c>
      <c r="C398" s="15">
        <v>645.549988</v>
      </c>
      <c r="D398" s="15">
        <v>635.599976</v>
      </c>
      <c r="E398" s="15">
        <v>639.700012</v>
      </c>
      <c r="F398" s="15">
        <v>631.92218</v>
      </c>
      <c r="G398" s="15">
        <v>1680270.0</v>
      </c>
      <c r="H398" s="19">
        <f t="shared" si="1"/>
        <v>0.01050473758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8">
        <v>44928.0</v>
      </c>
      <c r="B399" s="15">
        <v>643.0</v>
      </c>
      <c r="C399" s="15">
        <v>644.700012</v>
      </c>
      <c r="D399" s="15">
        <v>639.099976</v>
      </c>
      <c r="E399" s="15">
        <v>642.349976</v>
      </c>
      <c r="F399" s="15">
        <v>634.539978</v>
      </c>
      <c r="G399" s="15">
        <v>937786.0</v>
      </c>
      <c r="H399" s="19">
        <f t="shared" si="1"/>
        <v>0.004142510474</v>
      </c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>
        <v>44929.0</v>
      </c>
      <c r="B400" s="15">
        <v>648.950012</v>
      </c>
      <c r="C400" s="15">
        <v>654.799988</v>
      </c>
      <c r="D400" s="15">
        <v>642.150024</v>
      </c>
      <c r="E400" s="15">
        <v>644.049988</v>
      </c>
      <c r="F400" s="15">
        <v>636.219299</v>
      </c>
      <c r="G400" s="15">
        <v>2364730.0</v>
      </c>
      <c r="H400" s="19">
        <f t="shared" si="1"/>
        <v>0.002646551045</v>
      </c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8">
        <v>44930.0</v>
      </c>
      <c r="B401" s="15">
        <v>646.0</v>
      </c>
      <c r="C401" s="15">
        <v>646.549988</v>
      </c>
      <c r="D401" s="15">
        <v>633.0</v>
      </c>
      <c r="E401" s="15">
        <v>635.200012</v>
      </c>
      <c r="F401" s="15">
        <v>627.47699</v>
      </c>
      <c r="G401" s="15">
        <v>1377074.0</v>
      </c>
      <c r="H401" s="19">
        <f t="shared" si="1"/>
        <v>-0.01374113216</v>
      </c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>
        <v>44931.0</v>
      </c>
      <c r="B402" s="15">
        <v>638.400024</v>
      </c>
      <c r="C402" s="15">
        <v>638.400024</v>
      </c>
      <c r="D402" s="15">
        <v>631.5</v>
      </c>
      <c r="E402" s="15">
        <v>637.150024</v>
      </c>
      <c r="F402" s="15">
        <v>629.403198</v>
      </c>
      <c r="G402" s="15">
        <v>861066.0</v>
      </c>
      <c r="H402" s="19">
        <f t="shared" si="1"/>
        <v>0.003069918078</v>
      </c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8">
        <v>44932.0</v>
      </c>
      <c r="B403" s="15">
        <v>637.349976</v>
      </c>
      <c r="C403" s="15">
        <v>639.950012</v>
      </c>
      <c r="D403" s="15">
        <v>631.0</v>
      </c>
      <c r="E403" s="15">
        <v>636.25</v>
      </c>
      <c r="F403" s="15">
        <v>628.514221</v>
      </c>
      <c r="G403" s="15">
        <v>730880.0</v>
      </c>
      <c r="H403" s="19">
        <f t="shared" si="1"/>
        <v>-0.001412577833</v>
      </c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>
        <v>44935.0</v>
      </c>
      <c r="B404" s="15">
        <v>639.450012</v>
      </c>
      <c r="C404" s="15">
        <v>641.799988</v>
      </c>
      <c r="D404" s="15">
        <v>636.299988</v>
      </c>
      <c r="E404" s="15">
        <v>639.599976</v>
      </c>
      <c r="F404" s="15">
        <v>631.823364</v>
      </c>
      <c r="G404" s="15">
        <v>592137.0</v>
      </c>
      <c r="H404" s="19">
        <f t="shared" si="1"/>
        <v>0.005265188212</v>
      </c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8">
        <v>44936.0</v>
      </c>
      <c r="B405" s="15">
        <v>639.0</v>
      </c>
      <c r="C405" s="15">
        <v>642.799988</v>
      </c>
      <c r="D405" s="15">
        <v>634.599976</v>
      </c>
      <c r="E405" s="15">
        <v>636.950012</v>
      </c>
      <c r="F405" s="15">
        <v>629.205627</v>
      </c>
      <c r="G405" s="15">
        <v>978802.0</v>
      </c>
      <c r="H405" s="19">
        <f t="shared" si="1"/>
        <v>-0.004143158379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>
        <v>44937.0</v>
      </c>
      <c r="B406" s="15">
        <v>636.200012</v>
      </c>
      <c r="C406" s="15">
        <v>644.0</v>
      </c>
      <c r="D406" s="15">
        <v>636.200012</v>
      </c>
      <c r="E406" s="15">
        <v>640.75</v>
      </c>
      <c r="F406" s="15">
        <v>632.959412</v>
      </c>
      <c r="G406" s="15">
        <v>922620.0</v>
      </c>
      <c r="H406" s="19">
        <f t="shared" si="1"/>
        <v>0.00596591244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8">
        <v>44938.0</v>
      </c>
      <c r="B407" s="15">
        <v>643.700012</v>
      </c>
      <c r="C407" s="15">
        <v>644.299988</v>
      </c>
      <c r="D407" s="15">
        <v>638.25</v>
      </c>
      <c r="E407" s="15">
        <v>640.650024</v>
      </c>
      <c r="F407" s="15">
        <v>632.860657</v>
      </c>
      <c r="G407" s="15">
        <v>685572.0</v>
      </c>
      <c r="H407" s="19">
        <f t="shared" si="1"/>
        <v>-0.0001560296528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>
        <v>44939.0</v>
      </c>
      <c r="B408" s="15">
        <v>642.5</v>
      </c>
      <c r="C408" s="15">
        <v>643.5</v>
      </c>
      <c r="D408" s="15">
        <v>637.049988</v>
      </c>
      <c r="E408" s="15">
        <v>641.5</v>
      </c>
      <c r="F408" s="15">
        <v>633.700317</v>
      </c>
      <c r="G408" s="15">
        <v>697974.0</v>
      </c>
      <c r="H408" s="19">
        <f t="shared" si="1"/>
        <v>0.00132673998</v>
      </c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8">
        <v>44942.0</v>
      </c>
      <c r="B409" s="15">
        <v>643.0</v>
      </c>
      <c r="C409" s="15">
        <v>643.349976</v>
      </c>
      <c r="D409" s="15">
        <v>638.0</v>
      </c>
      <c r="E409" s="15">
        <v>640.049988</v>
      </c>
      <c r="F409" s="15">
        <v>632.267944</v>
      </c>
      <c r="G409" s="15">
        <v>789814.0</v>
      </c>
      <c r="H409" s="19">
        <f t="shared" si="1"/>
        <v>-0.002260346064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>
        <v>44943.0</v>
      </c>
      <c r="B410" s="15">
        <v>640.0</v>
      </c>
      <c r="C410" s="15">
        <v>643.700012</v>
      </c>
      <c r="D410" s="15">
        <v>633.650024</v>
      </c>
      <c r="E410" s="15">
        <v>641.150024</v>
      </c>
      <c r="F410" s="15">
        <v>633.354553</v>
      </c>
      <c r="G410" s="15">
        <v>1093013.0</v>
      </c>
      <c r="H410" s="19">
        <f t="shared" si="1"/>
        <v>0.001718672011</v>
      </c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8">
        <v>44944.0</v>
      </c>
      <c r="B411" s="15">
        <v>641.549988</v>
      </c>
      <c r="C411" s="15">
        <v>642.5</v>
      </c>
      <c r="D411" s="15">
        <v>637.700012</v>
      </c>
      <c r="E411" s="15">
        <v>640.150024</v>
      </c>
      <c r="F411" s="15">
        <v>632.36676</v>
      </c>
      <c r="G411" s="15">
        <v>706202.0</v>
      </c>
      <c r="H411" s="19">
        <f t="shared" si="1"/>
        <v>-0.00155969736</v>
      </c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>
        <v>44945.0</v>
      </c>
      <c r="B412" s="15">
        <v>639.0</v>
      </c>
      <c r="C412" s="15">
        <v>641.0</v>
      </c>
      <c r="D412" s="15">
        <v>635.0</v>
      </c>
      <c r="E412" s="15">
        <v>640.299988</v>
      </c>
      <c r="F412" s="15">
        <v>632.514893</v>
      </c>
      <c r="G412" s="15">
        <v>802422.0</v>
      </c>
      <c r="H412" s="19">
        <f t="shared" si="1"/>
        <v>0.0002342638356</v>
      </c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8">
        <v>44946.0</v>
      </c>
      <c r="B413" s="15">
        <v>639.5</v>
      </c>
      <c r="C413" s="15">
        <v>651.950012</v>
      </c>
      <c r="D413" s="15">
        <v>638.5</v>
      </c>
      <c r="E413" s="15">
        <v>641.450012</v>
      </c>
      <c r="F413" s="15">
        <v>633.65094</v>
      </c>
      <c r="G413" s="15">
        <v>1759179.0</v>
      </c>
      <c r="H413" s="19">
        <f t="shared" si="1"/>
        <v>0.001796070626</v>
      </c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>
        <v>44949.0</v>
      </c>
      <c r="B414" s="15">
        <v>644.700012</v>
      </c>
      <c r="C414" s="15">
        <v>645.0</v>
      </c>
      <c r="D414" s="15">
        <v>639.799988</v>
      </c>
      <c r="E414" s="15">
        <v>642.799988</v>
      </c>
      <c r="F414" s="15">
        <v>634.984497</v>
      </c>
      <c r="G414" s="15">
        <v>756232.0</v>
      </c>
      <c r="H414" s="19">
        <f t="shared" si="1"/>
        <v>0.002104569296</v>
      </c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8">
        <v>44950.0</v>
      </c>
      <c r="B415" s="15">
        <v>643.099976</v>
      </c>
      <c r="C415" s="15">
        <v>647.400024</v>
      </c>
      <c r="D415" s="15">
        <v>638.599976</v>
      </c>
      <c r="E415" s="15">
        <v>643.200012</v>
      </c>
      <c r="F415" s="15">
        <v>635.3797</v>
      </c>
      <c r="G415" s="15">
        <v>845755.0</v>
      </c>
      <c r="H415" s="19">
        <f t="shared" si="1"/>
        <v>0.0006223148841</v>
      </c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>
        <v>44951.0</v>
      </c>
      <c r="B416" s="15">
        <v>640.349976</v>
      </c>
      <c r="C416" s="15">
        <v>643.700012</v>
      </c>
      <c r="D416" s="15">
        <v>625.5</v>
      </c>
      <c r="E416" s="15">
        <v>627.549988</v>
      </c>
      <c r="F416" s="15">
        <v>619.919922</v>
      </c>
      <c r="G416" s="15">
        <v>1518420.0</v>
      </c>
      <c r="H416" s="19">
        <f t="shared" si="1"/>
        <v>-0.02433150452</v>
      </c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8">
        <v>44953.0</v>
      </c>
      <c r="B417" s="15">
        <v>630.700012</v>
      </c>
      <c r="C417" s="15">
        <v>632.849976</v>
      </c>
      <c r="D417" s="15">
        <v>601.0</v>
      </c>
      <c r="E417" s="15">
        <v>611.849976</v>
      </c>
      <c r="F417" s="15">
        <v>604.410706</v>
      </c>
      <c r="G417" s="15">
        <v>2034846.0</v>
      </c>
      <c r="H417" s="19">
        <f t="shared" si="1"/>
        <v>-0.02501794646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>
        <v>44956.0</v>
      </c>
      <c r="B418" s="15">
        <v>613.950012</v>
      </c>
      <c r="C418" s="15">
        <v>626.75</v>
      </c>
      <c r="D418" s="15">
        <v>610.0</v>
      </c>
      <c r="E418" s="15">
        <v>624.849976</v>
      </c>
      <c r="F418" s="15">
        <v>617.252686</v>
      </c>
      <c r="G418" s="15">
        <v>1192737.0</v>
      </c>
      <c r="H418" s="19">
        <f t="shared" si="1"/>
        <v>0.02124703851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8">
        <v>44957.0</v>
      </c>
      <c r="B419" s="15">
        <v>626.049988</v>
      </c>
      <c r="C419" s="15">
        <v>640.0</v>
      </c>
      <c r="D419" s="15">
        <v>622.200012</v>
      </c>
      <c r="E419" s="15">
        <v>636.599976</v>
      </c>
      <c r="F419" s="15">
        <v>628.859863</v>
      </c>
      <c r="G419" s="15">
        <v>1169450.0</v>
      </c>
      <c r="H419" s="19">
        <f t="shared" si="1"/>
        <v>0.01880451381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>
        <v>44958.0</v>
      </c>
      <c r="B420" s="15">
        <v>641.0</v>
      </c>
      <c r="C420" s="15">
        <v>652.799988</v>
      </c>
      <c r="D420" s="15">
        <v>616.799988</v>
      </c>
      <c r="E420" s="15">
        <v>628.049988</v>
      </c>
      <c r="F420" s="15">
        <v>620.413818</v>
      </c>
      <c r="G420" s="15">
        <v>3338066.0</v>
      </c>
      <c r="H420" s="19">
        <f t="shared" si="1"/>
        <v>-0.01343070739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8">
        <v>44959.0</v>
      </c>
      <c r="B421" s="15">
        <v>628.0</v>
      </c>
      <c r="C421" s="15">
        <v>634.450012</v>
      </c>
      <c r="D421" s="15">
        <v>622.900024</v>
      </c>
      <c r="E421" s="15">
        <v>630.200012</v>
      </c>
      <c r="F421" s="15">
        <v>622.53772</v>
      </c>
      <c r="G421" s="15">
        <v>1229577.0</v>
      </c>
      <c r="H421" s="19">
        <f t="shared" si="1"/>
        <v>0.003423332603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>
        <v>44960.0</v>
      </c>
      <c r="B422" s="15">
        <v>631.099976</v>
      </c>
      <c r="C422" s="15">
        <v>633.200012</v>
      </c>
      <c r="D422" s="15">
        <v>618.0</v>
      </c>
      <c r="E422" s="15">
        <v>627.450012</v>
      </c>
      <c r="F422" s="15">
        <v>619.821167</v>
      </c>
      <c r="G422" s="15">
        <v>1017351.0</v>
      </c>
      <c r="H422" s="19">
        <f t="shared" si="1"/>
        <v>-0.004363693982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8">
        <v>44963.0</v>
      </c>
      <c r="B423" s="15">
        <v>627.0</v>
      </c>
      <c r="C423" s="15">
        <v>636.299988</v>
      </c>
      <c r="D423" s="15">
        <v>625.0</v>
      </c>
      <c r="E423" s="15">
        <v>634.849976</v>
      </c>
      <c r="F423" s="15">
        <v>627.131165</v>
      </c>
      <c r="G423" s="15">
        <v>903072.0</v>
      </c>
      <c r="H423" s="19">
        <f t="shared" si="1"/>
        <v>0.01179371083</v>
      </c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>
        <v>44964.0</v>
      </c>
      <c r="B424" s="15">
        <v>635.0</v>
      </c>
      <c r="C424" s="15">
        <v>637.900024</v>
      </c>
      <c r="D424" s="15">
        <v>630.5</v>
      </c>
      <c r="E424" s="15">
        <v>636.450012</v>
      </c>
      <c r="F424" s="15">
        <v>628.711731</v>
      </c>
      <c r="G424" s="15">
        <v>876421.0</v>
      </c>
      <c r="H424" s="19">
        <f t="shared" si="1"/>
        <v>0.002520337183</v>
      </c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8">
        <v>44965.0</v>
      </c>
      <c r="B425" s="15">
        <v>637.950012</v>
      </c>
      <c r="C425" s="15">
        <v>642.0</v>
      </c>
      <c r="D425" s="15">
        <v>635.049988</v>
      </c>
      <c r="E425" s="15">
        <v>641.299988</v>
      </c>
      <c r="F425" s="15">
        <v>633.502747</v>
      </c>
      <c r="G425" s="15">
        <v>971390.0</v>
      </c>
      <c r="H425" s="19">
        <f t="shared" si="1"/>
        <v>0.007620356522</v>
      </c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>
        <v>44966.0</v>
      </c>
      <c r="B426" s="15">
        <v>643.0</v>
      </c>
      <c r="C426" s="15">
        <v>656.700012</v>
      </c>
      <c r="D426" s="15">
        <v>637.0</v>
      </c>
      <c r="E426" s="15">
        <v>651.450012</v>
      </c>
      <c r="F426" s="15">
        <v>643.529297</v>
      </c>
      <c r="G426" s="15">
        <v>3035079.0</v>
      </c>
      <c r="H426" s="19">
        <f t="shared" si="1"/>
        <v>0.01582726367</v>
      </c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8">
        <v>44967.0</v>
      </c>
      <c r="B427" s="15">
        <v>653.700012</v>
      </c>
      <c r="C427" s="15">
        <v>653.700012</v>
      </c>
      <c r="D427" s="15">
        <v>641.549988</v>
      </c>
      <c r="E427" s="15">
        <v>644.150024</v>
      </c>
      <c r="F427" s="15">
        <v>636.318115</v>
      </c>
      <c r="G427" s="15">
        <v>1367860.0</v>
      </c>
      <c r="H427" s="19">
        <f t="shared" si="1"/>
        <v>-0.01120575311</v>
      </c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>
        <v>44970.0</v>
      </c>
      <c r="B428" s="15">
        <v>644.150024</v>
      </c>
      <c r="C428" s="15">
        <v>646.150024</v>
      </c>
      <c r="D428" s="15">
        <v>633.5</v>
      </c>
      <c r="E428" s="15">
        <v>640.099976</v>
      </c>
      <c r="F428" s="15">
        <v>632.317261</v>
      </c>
      <c r="G428" s="15">
        <v>859178.0</v>
      </c>
      <c r="H428" s="19">
        <f t="shared" si="1"/>
        <v>-0.006287429712</v>
      </c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8">
        <v>44971.0</v>
      </c>
      <c r="B429" s="15">
        <v>642.0</v>
      </c>
      <c r="C429" s="15">
        <v>644.599976</v>
      </c>
      <c r="D429" s="15">
        <v>636.200012</v>
      </c>
      <c r="E429" s="15">
        <v>642.049988</v>
      </c>
      <c r="F429" s="15">
        <v>634.243591</v>
      </c>
      <c r="G429" s="15">
        <v>773609.0</v>
      </c>
      <c r="H429" s="19">
        <f t="shared" si="1"/>
        <v>0.003046417861</v>
      </c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>
        <v>44972.0</v>
      </c>
      <c r="B430" s="15">
        <v>640.5</v>
      </c>
      <c r="C430" s="15">
        <v>648.0</v>
      </c>
      <c r="D430" s="15">
        <v>631.0</v>
      </c>
      <c r="E430" s="15">
        <v>647.25</v>
      </c>
      <c r="F430" s="15">
        <v>639.380432</v>
      </c>
      <c r="G430" s="15">
        <v>826243.0</v>
      </c>
      <c r="H430" s="19">
        <f t="shared" si="1"/>
        <v>0.008099076547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8">
        <v>44973.0</v>
      </c>
      <c r="B431" s="15">
        <v>647.25</v>
      </c>
      <c r="C431" s="15">
        <v>653.0</v>
      </c>
      <c r="D431" s="15">
        <v>645.900024</v>
      </c>
      <c r="E431" s="15">
        <v>649.25</v>
      </c>
      <c r="F431" s="15">
        <v>641.356018</v>
      </c>
      <c r="G431" s="15">
        <v>908726.0</v>
      </c>
      <c r="H431" s="19">
        <f t="shared" si="1"/>
        <v>0.003089996138</v>
      </c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>
        <v>44974.0</v>
      </c>
      <c r="B432" s="15">
        <v>648.150024</v>
      </c>
      <c r="C432" s="15">
        <v>651.950012</v>
      </c>
      <c r="D432" s="15">
        <v>645.25</v>
      </c>
      <c r="E432" s="15">
        <v>649.900024</v>
      </c>
      <c r="F432" s="15">
        <v>641.998169</v>
      </c>
      <c r="G432" s="15">
        <v>769510.0</v>
      </c>
      <c r="H432" s="19">
        <f t="shared" si="1"/>
        <v>0.001001192145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8">
        <v>44977.0</v>
      </c>
      <c r="B433" s="15">
        <v>649.900024</v>
      </c>
      <c r="C433" s="15">
        <v>652.900024</v>
      </c>
      <c r="D433" s="15">
        <v>640.650024</v>
      </c>
      <c r="E433" s="15">
        <v>641.849976</v>
      </c>
      <c r="F433" s="15">
        <v>634.046021</v>
      </c>
      <c r="G433" s="15">
        <v>839690.0</v>
      </c>
      <c r="H433" s="19">
        <f t="shared" si="1"/>
        <v>-0.0123865944</v>
      </c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>
        <v>44978.0</v>
      </c>
      <c r="B434" s="15">
        <v>641.849976</v>
      </c>
      <c r="C434" s="15">
        <v>647.450012</v>
      </c>
      <c r="D434" s="15">
        <v>639.0</v>
      </c>
      <c r="E434" s="15">
        <v>642.549988</v>
      </c>
      <c r="F434" s="15">
        <v>634.737549</v>
      </c>
      <c r="G434" s="15">
        <v>810862.0</v>
      </c>
      <c r="H434" s="19">
        <f t="shared" si="1"/>
        <v>0.001090616228</v>
      </c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8">
        <v>44979.0</v>
      </c>
      <c r="B435" s="15">
        <v>639.400024</v>
      </c>
      <c r="C435" s="15">
        <v>639.400024</v>
      </c>
      <c r="D435" s="15">
        <v>617.799988</v>
      </c>
      <c r="E435" s="15">
        <v>619.299988</v>
      </c>
      <c r="F435" s="15">
        <v>615.120789</v>
      </c>
      <c r="G435" s="15">
        <v>1476831.0</v>
      </c>
      <c r="H435" s="19">
        <f t="shared" si="1"/>
        <v>-0.03618395523</v>
      </c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>
        <v>44980.0</v>
      </c>
      <c r="B436" s="15">
        <v>616.0</v>
      </c>
      <c r="C436" s="15">
        <v>616.0</v>
      </c>
      <c r="D436" s="15">
        <v>601.0</v>
      </c>
      <c r="E436" s="15">
        <v>602.299988</v>
      </c>
      <c r="F436" s="15">
        <v>598.235474</v>
      </c>
      <c r="G436" s="15">
        <v>1905454.0</v>
      </c>
      <c r="H436" s="19">
        <f t="shared" si="1"/>
        <v>-0.0274503477</v>
      </c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8">
        <v>44981.0</v>
      </c>
      <c r="B437" s="15">
        <v>604.950012</v>
      </c>
      <c r="C437" s="15">
        <v>610.0</v>
      </c>
      <c r="D437" s="15">
        <v>602.0</v>
      </c>
      <c r="E437" s="15">
        <v>607.849976</v>
      </c>
      <c r="F437" s="15">
        <v>603.748047</v>
      </c>
      <c r="G437" s="15">
        <v>1103521.0</v>
      </c>
      <c r="H437" s="19">
        <f t="shared" si="1"/>
        <v>0.009214657331</v>
      </c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>
        <v>44984.0</v>
      </c>
      <c r="B438" s="15">
        <v>606.0</v>
      </c>
      <c r="C438" s="15">
        <v>607.099976</v>
      </c>
      <c r="D438" s="15">
        <v>595.0</v>
      </c>
      <c r="E438" s="15">
        <v>599.849976</v>
      </c>
      <c r="F438" s="15">
        <v>595.802002</v>
      </c>
      <c r="G438" s="15">
        <v>1272125.0</v>
      </c>
      <c r="H438" s="19">
        <f t="shared" si="1"/>
        <v>-0.01316114225</v>
      </c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8">
        <v>44985.0</v>
      </c>
      <c r="B439" s="15">
        <v>602.849976</v>
      </c>
      <c r="C439" s="15">
        <v>610.650024</v>
      </c>
      <c r="D439" s="15">
        <v>600.599976</v>
      </c>
      <c r="E439" s="15">
        <v>609.25</v>
      </c>
      <c r="F439" s="15">
        <v>605.138672</v>
      </c>
      <c r="G439" s="15">
        <v>1169989.0</v>
      </c>
      <c r="H439" s="19">
        <f t="shared" si="1"/>
        <v>0.01567062495</v>
      </c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>
        <v>44986.0</v>
      </c>
      <c r="B440" s="15">
        <v>603.299988</v>
      </c>
      <c r="C440" s="15">
        <v>614.799988</v>
      </c>
      <c r="D440" s="15">
        <v>603.299988</v>
      </c>
      <c r="E440" s="15">
        <v>611.349976</v>
      </c>
      <c r="F440" s="15">
        <v>607.224487</v>
      </c>
      <c r="G440" s="15">
        <v>838187.0</v>
      </c>
      <c r="H440" s="19">
        <f t="shared" si="1"/>
        <v>0.003446821502</v>
      </c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8">
        <v>44987.0</v>
      </c>
      <c r="B441" s="15">
        <v>614.450012</v>
      </c>
      <c r="C441" s="15">
        <v>614.450012</v>
      </c>
      <c r="D441" s="15">
        <v>608.0</v>
      </c>
      <c r="E441" s="15">
        <v>609.200012</v>
      </c>
      <c r="F441" s="15">
        <v>605.088989</v>
      </c>
      <c r="G441" s="15">
        <v>675954.0</v>
      </c>
      <c r="H441" s="19">
        <f t="shared" si="1"/>
        <v>-0.003516748318</v>
      </c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>
        <v>44988.0</v>
      </c>
      <c r="B442" s="15">
        <v>611.0</v>
      </c>
      <c r="C442" s="15">
        <v>617.5</v>
      </c>
      <c r="D442" s="15">
        <v>611.0</v>
      </c>
      <c r="E442" s="15">
        <v>613.950012</v>
      </c>
      <c r="F442" s="15">
        <v>609.806885</v>
      </c>
      <c r="G442" s="15">
        <v>922970.0</v>
      </c>
      <c r="H442" s="19">
        <f t="shared" si="1"/>
        <v>0.007797110812</v>
      </c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8">
        <v>44991.0</v>
      </c>
      <c r="B443" s="15">
        <v>615.549988</v>
      </c>
      <c r="C443" s="15">
        <v>620.950012</v>
      </c>
      <c r="D443" s="15">
        <v>615.049988</v>
      </c>
      <c r="E443" s="15">
        <v>615.799988</v>
      </c>
      <c r="F443" s="15">
        <v>611.644409</v>
      </c>
      <c r="G443" s="15">
        <v>1159437.0</v>
      </c>
      <c r="H443" s="19">
        <f t="shared" si="1"/>
        <v>0.003013235547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>
        <v>44993.0</v>
      </c>
      <c r="B444" s="15">
        <v>615.0</v>
      </c>
      <c r="C444" s="15">
        <v>618.799988</v>
      </c>
      <c r="D444" s="15">
        <v>612.200012</v>
      </c>
      <c r="E444" s="15">
        <v>618.25</v>
      </c>
      <c r="F444" s="15">
        <v>614.077881</v>
      </c>
      <c r="G444" s="15">
        <v>599416.0</v>
      </c>
      <c r="H444" s="19">
        <f t="shared" si="1"/>
        <v>0.003978584033</v>
      </c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8">
        <v>44994.0</v>
      </c>
      <c r="B445" s="15">
        <v>618.799988</v>
      </c>
      <c r="C445" s="15">
        <v>621.400024</v>
      </c>
      <c r="D445" s="15">
        <v>614.0</v>
      </c>
      <c r="E445" s="15">
        <v>615.049988</v>
      </c>
      <c r="F445" s="15">
        <v>610.899475</v>
      </c>
      <c r="G445" s="15">
        <v>705160.0</v>
      </c>
      <c r="H445" s="19">
        <f t="shared" si="1"/>
        <v>-0.005175919127</v>
      </c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>
        <v>44995.0</v>
      </c>
      <c r="B446" s="15">
        <v>612.799988</v>
      </c>
      <c r="C446" s="15">
        <v>613.5</v>
      </c>
      <c r="D446" s="15">
        <v>604.549988</v>
      </c>
      <c r="E446" s="15">
        <v>611.950012</v>
      </c>
      <c r="F446" s="15">
        <v>607.820374</v>
      </c>
      <c r="G446" s="15">
        <v>783871.0</v>
      </c>
      <c r="H446" s="19">
        <f t="shared" si="1"/>
        <v>-0.005040201708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8">
        <v>44998.0</v>
      </c>
      <c r="B447" s="15">
        <v>607.150024</v>
      </c>
      <c r="C447" s="15">
        <v>613.0</v>
      </c>
      <c r="D447" s="15">
        <v>600.0</v>
      </c>
      <c r="E447" s="15">
        <v>601.650024</v>
      </c>
      <c r="F447" s="15">
        <v>597.589905</v>
      </c>
      <c r="G447" s="15">
        <v>1063211.0</v>
      </c>
      <c r="H447" s="19">
        <f t="shared" si="1"/>
        <v>-0.01683142054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>
        <v>44999.0</v>
      </c>
      <c r="B448" s="15">
        <v>602.0</v>
      </c>
      <c r="C448" s="15">
        <v>605.0</v>
      </c>
      <c r="D448" s="15">
        <v>596.099976</v>
      </c>
      <c r="E448" s="15">
        <v>603.349976</v>
      </c>
      <c r="F448" s="15">
        <v>599.278381</v>
      </c>
      <c r="G448" s="15">
        <v>1024101.0</v>
      </c>
      <c r="H448" s="19">
        <f t="shared" si="1"/>
        <v>0.002825483142</v>
      </c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8">
        <v>45000.0</v>
      </c>
      <c r="B449" s="15">
        <v>605.0</v>
      </c>
      <c r="C449" s="15">
        <v>608.950012</v>
      </c>
      <c r="D449" s="15">
        <v>601.5</v>
      </c>
      <c r="E449" s="15">
        <v>605.650024</v>
      </c>
      <c r="F449" s="15">
        <v>601.562927</v>
      </c>
      <c r="G449" s="15">
        <v>787957.0</v>
      </c>
      <c r="H449" s="19">
        <f t="shared" si="1"/>
        <v>0.003812129098</v>
      </c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>
        <v>45001.0</v>
      </c>
      <c r="B450" s="15">
        <v>604.5</v>
      </c>
      <c r="C450" s="15">
        <v>606.599976</v>
      </c>
      <c r="D450" s="15">
        <v>595.700012</v>
      </c>
      <c r="E450" s="15">
        <v>603.450012</v>
      </c>
      <c r="F450" s="15">
        <v>599.377747</v>
      </c>
      <c r="G450" s="15">
        <v>921400.0</v>
      </c>
      <c r="H450" s="19">
        <f t="shared" si="1"/>
        <v>-0.003632480662</v>
      </c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8">
        <v>45002.0</v>
      </c>
      <c r="B451" s="15">
        <v>606.700012</v>
      </c>
      <c r="C451" s="15">
        <v>619.0</v>
      </c>
      <c r="D451" s="15">
        <v>606.200012</v>
      </c>
      <c r="E451" s="15">
        <v>611.650024</v>
      </c>
      <c r="F451" s="15">
        <v>607.522461</v>
      </c>
      <c r="G451" s="15">
        <v>1271225.0</v>
      </c>
      <c r="H451" s="19">
        <f t="shared" si="1"/>
        <v>0.01358855222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>
        <v>45005.0</v>
      </c>
      <c r="B452" s="15">
        <v>606.0</v>
      </c>
      <c r="C452" s="15">
        <v>609.900024</v>
      </c>
      <c r="D452" s="15">
        <v>600.0</v>
      </c>
      <c r="E452" s="15">
        <v>604.450012</v>
      </c>
      <c r="F452" s="15">
        <v>600.371033</v>
      </c>
      <c r="G452" s="15">
        <v>694608.0</v>
      </c>
      <c r="H452" s="19">
        <f t="shared" si="1"/>
        <v>-0.01177145707</v>
      </c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8">
        <v>45006.0</v>
      </c>
      <c r="B453" s="15">
        <v>604.25</v>
      </c>
      <c r="C453" s="15">
        <v>608.799988</v>
      </c>
      <c r="D453" s="15">
        <v>602.150024</v>
      </c>
      <c r="E453" s="15">
        <v>606.75</v>
      </c>
      <c r="F453" s="15">
        <v>602.655518</v>
      </c>
      <c r="G453" s="15">
        <v>823110.0</v>
      </c>
      <c r="H453" s="19">
        <f t="shared" si="1"/>
        <v>0.003805092157</v>
      </c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>
        <v>45007.0</v>
      </c>
      <c r="B454" s="15">
        <v>609.099976</v>
      </c>
      <c r="C454" s="15">
        <v>609.900024</v>
      </c>
      <c r="D454" s="15">
        <v>603.849976</v>
      </c>
      <c r="E454" s="15">
        <v>604.75</v>
      </c>
      <c r="F454" s="15">
        <v>600.669006</v>
      </c>
      <c r="G454" s="15">
        <v>504390.0</v>
      </c>
      <c r="H454" s="19">
        <f t="shared" si="1"/>
        <v>-0.003296250515</v>
      </c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8">
        <v>45008.0</v>
      </c>
      <c r="B455" s="15">
        <v>604.700012</v>
      </c>
      <c r="C455" s="15">
        <v>606.599976</v>
      </c>
      <c r="D455" s="15">
        <v>599.650024</v>
      </c>
      <c r="E455" s="15">
        <v>605.150024</v>
      </c>
      <c r="F455" s="15">
        <v>601.066345</v>
      </c>
      <c r="G455" s="15">
        <v>932262.0</v>
      </c>
      <c r="H455" s="19">
        <f t="shared" si="1"/>
        <v>0.0006614700289</v>
      </c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8">
        <v>45009.0</v>
      </c>
      <c r="B456" s="15">
        <v>605.099976</v>
      </c>
      <c r="C456" s="15">
        <v>608.599976</v>
      </c>
      <c r="D456" s="15">
        <v>598.099976</v>
      </c>
      <c r="E456" s="15">
        <v>600.049988</v>
      </c>
      <c r="F456" s="15">
        <v>596.000671</v>
      </c>
      <c r="G456" s="15">
        <v>886735.0</v>
      </c>
      <c r="H456" s="19">
        <f t="shared" si="1"/>
        <v>-0.008427721718</v>
      </c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8">
        <v>45012.0</v>
      </c>
      <c r="B457" s="15">
        <v>598.049988</v>
      </c>
      <c r="C457" s="15">
        <v>599.950012</v>
      </c>
      <c r="D457" s="15">
        <v>576.700012</v>
      </c>
      <c r="E457" s="15">
        <v>582.099976</v>
      </c>
      <c r="F457" s="15">
        <v>578.171814</v>
      </c>
      <c r="G457" s="15">
        <v>1429219.0</v>
      </c>
      <c r="H457" s="19">
        <f t="shared" si="1"/>
        <v>-0.02991419442</v>
      </c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8">
        <v>45013.0</v>
      </c>
      <c r="B458" s="15">
        <v>584.0</v>
      </c>
      <c r="C458" s="15">
        <v>584.0</v>
      </c>
      <c r="D458" s="15">
        <v>558.849976</v>
      </c>
      <c r="E458" s="15">
        <v>560.200012</v>
      </c>
      <c r="F458" s="15">
        <v>556.419678</v>
      </c>
      <c r="G458" s="15">
        <v>2025058.0</v>
      </c>
      <c r="H458" s="19">
        <f t="shared" si="1"/>
        <v>-0.03762234136</v>
      </c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8">
        <v>45014.0</v>
      </c>
      <c r="B459" s="15">
        <v>563.0</v>
      </c>
      <c r="C459" s="15">
        <v>568.700012</v>
      </c>
      <c r="D459" s="15">
        <v>557.099976</v>
      </c>
      <c r="E459" s="15">
        <v>564.5</v>
      </c>
      <c r="F459" s="15">
        <v>560.690613</v>
      </c>
      <c r="G459" s="15">
        <v>2017776.0</v>
      </c>
      <c r="H459" s="19">
        <f t="shared" si="1"/>
        <v>0.007675808475</v>
      </c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8">
        <v>45016.0</v>
      </c>
      <c r="B460" s="15">
        <v>568.299988</v>
      </c>
      <c r="C460" s="15">
        <v>575.5</v>
      </c>
      <c r="D460" s="15">
        <v>567.5</v>
      </c>
      <c r="E460" s="15">
        <v>572.799988</v>
      </c>
      <c r="F460" s="15">
        <v>568.934631</v>
      </c>
      <c r="G460" s="15">
        <v>1237105.0</v>
      </c>
      <c r="H460" s="19">
        <f t="shared" si="1"/>
        <v>0.01470325598</v>
      </c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8">
        <v>45019.0</v>
      </c>
      <c r="B461" s="15">
        <v>577.0</v>
      </c>
      <c r="C461" s="15">
        <v>579.650024</v>
      </c>
      <c r="D461" s="15">
        <v>566.599976</v>
      </c>
      <c r="E461" s="15">
        <v>570.299988</v>
      </c>
      <c r="F461" s="15">
        <v>566.451477</v>
      </c>
      <c r="G461" s="15">
        <v>1707849.0</v>
      </c>
      <c r="H461" s="19">
        <f t="shared" si="1"/>
        <v>-0.004364525231</v>
      </c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8">
        <v>45021.0</v>
      </c>
      <c r="B462" s="15">
        <v>571.049988</v>
      </c>
      <c r="C462" s="15">
        <v>574.900024</v>
      </c>
      <c r="D462" s="15">
        <v>564.549988</v>
      </c>
      <c r="E462" s="15">
        <v>566.650024</v>
      </c>
      <c r="F462" s="15">
        <v>562.826111</v>
      </c>
      <c r="G462" s="15">
        <v>1555308.0</v>
      </c>
      <c r="H462" s="19">
        <f t="shared" si="1"/>
        <v>-0.006400077287</v>
      </c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8">
        <v>45022.0</v>
      </c>
      <c r="B463" s="15">
        <v>568.599976</v>
      </c>
      <c r="C463" s="15">
        <v>572.75</v>
      </c>
      <c r="D463" s="15">
        <v>566.650024</v>
      </c>
      <c r="E463" s="15">
        <v>569.900024</v>
      </c>
      <c r="F463" s="15">
        <v>566.054199</v>
      </c>
      <c r="G463" s="15">
        <v>1559125.0</v>
      </c>
      <c r="H463" s="19">
        <f t="shared" si="1"/>
        <v>0.005735462565</v>
      </c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8">
        <v>45026.0</v>
      </c>
      <c r="B464" s="15">
        <v>570.150024</v>
      </c>
      <c r="C464" s="15">
        <v>583.0</v>
      </c>
      <c r="D464" s="15">
        <v>570.150024</v>
      </c>
      <c r="E464" s="15">
        <v>581.299988</v>
      </c>
      <c r="F464" s="15">
        <v>577.377258</v>
      </c>
      <c r="G464" s="15">
        <v>1300834.0</v>
      </c>
      <c r="H464" s="19">
        <f t="shared" si="1"/>
        <v>0.02000344538</v>
      </c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8">
        <v>45027.0</v>
      </c>
      <c r="B465" s="15">
        <v>583.0</v>
      </c>
      <c r="C465" s="15">
        <v>589.0</v>
      </c>
      <c r="D465" s="15">
        <v>578.049988</v>
      </c>
      <c r="E465" s="15">
        <v>584.900024</v>
      </c>
      <c r="F465" s="15">
        <v>580.953003</v>
      </c>
      <c r="G465" s="15">
        <v>1285557.0</v>
      </c>
      <c r="H465" s="19">
        <f t="shared" si="1"/>
        <v>0.006193077713</v>
      </c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8">
        <v>45028.0</v>
      </c>
      <c r="B466" s="15">
        <v>584.900024</v>
      </c>
      <c r="C466" s="15">
        <v>588.5</v>
      </c>
      <c r="D466" s="15">
        <v>579.150024</v>
      </c>
      <c r="E466" s="15">
        <v>584.400024</v>
      </c>
      <c r="F466" s="15">
        <v>580.45636</v>
      </c>
      <c r="G466" s="15">
        <v>1406652.0</v>
      </c>
      <c r="H466" s="19">
        <f t="shared" si="1"/>
        <v>-0.0008548469473</v>
      </c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8">
        <v>45029.0</v>
      </c>
      <c r="B467" s="15">
        <v>582.0</v>
      </c>
      <c r="C467" s="15">
        <v>594.0</v>
      </c>
      <c r="D467" s="15">
        <v>582.0</v>
      </c>
      <c r="E467" s="15">
        <v>592.650024</v>
      </c>
      <c r="F467" s="15">
        <v>588.650696</v>
      </c>
      <c r="G467" s="15">
        <v>1102409.0</v>
      </c>
      <c r="H467" s="19">
        <f t="shared" si="1"/>
        <v>0.01411704254</v>
      </c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8">
        <v>45033.0</v>
      </c>
      <c r="B468" s="15">
        <v>592.650024</v>
      </c>
      <c r="C468" s="15">
        <v>597.599976</v>
      </c>
      <c r="D468" s="15">
        <v>584.150024</v>
      </c>
      <c r="E468" s="15">
        <v>596.650024</v>
      </c>
      <c r="F468" s="15">
        <v>592.623718</v>
      </c>
      <c r="G468" s="15">
        <v>974707.0</v>
      </c>
      <c r="H468" s="19">
        <f t="shared" si="1"/>
        <v>0.006749345884</v>
      </c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8">
        <v>45034.0</v>
      </c>
      <c r="B469" s="15">
        <v>597.950012</v>
      </c>
      <c r="C469" s="15">
        <v>604.900024</v>
      </c>
      <c r="D469" s="15">
        <v>596.200012</v>
      </c>
      <c r="E469" s="15">
        <v>603.549988</v>
      </c>
      <c r="F469" s="15">
        <v>599.477051</v>
      </c>
      <c r="G469" s="15">
        <v>1216107.0</v>
      </c>
      <c r="H469" s="19">
        <f t="shared" si="1"/>
        <v>0.01156450804</v>
      </c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8">
        <v>45035.0</v>
      </c>
      <c r="B470" s="15">
        <v>606.900024</v>
      </c>
      <c r="C470" s="15">
        <v>613.849976</v>
      </c>
      <c r="D470" s="15">
        <v>600.5</v>
      </c>
      <c r="E470" s="15">
        <v>606.700012</v>
      </c>
      <c r="F470" s="15">
        <v>602.605835</v>
      </c>
      <c r="G470" s="15">
        <v>1814835.0</v>
      </c>
      <c r="H470" s="19">
        <f t="shared" si="1"/>
        <v>0.005219160074</v>
      </c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8">
        <v>45036.0</v>
      </c>
      <c r="B471" s="15">
        <v>606.849976</v>
      </c>
      <c r="C471" s="15">
        <v>609.900024</v>
      </c>
      <c r="D471" s="15">
        <v>599.0</v>
      </c>
      <c r="E471" s="15">
        <v>601.75</v>
      </c>
      <c r="F471" s="15">
        <v>597.689209</v>
      </c>
      <c r="G471" s="15">
        <v>698282.0</v>
      </c>
      <c r="H471" s="19">
        <f t="shared" si="1"/>
        <v>-0.008158911986</v>
      </c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8">
        <v>45037.0</v>
      </c>
      <c r="B472" s="15">
        <v>602.0</v>
      </c>
      <c r="C472" s="15">
        <v>603.849976</v>
      </c>
      <c r="D472" s="15">
        <v>594.700012</v>
      </c>
      <c r="E472" s="15">
        <v>603.0</v>
      </c>
      <c r="F472" s="15">
        <v>598.930786</v>
      </c>
      <c r="G472" s="15">
        <v>830247.0</v>
      </c>
      <c r="H472" s="19">
        <f t="shared" si="1"/>
        <v>0.002077274616</v>
      </c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8">
        <v>45040.0</v>
      </c>
      <c r="B473" s="15">
        <v>603.0</v>
      </c>
      <c r="C473" s="15">
        <v>607.5</v>
      </c>
      <c r="D473" s="15">
        <v>597.299988</v>
      </c>
      <c r="E473" s="15">
        <v>603.400024</v>
      </c>
      <c r="F473" s="15">
        <v>599.328125</v>
      </c>
      <c r="G473" s="15">
        <v>870486.0</v>
      </c>
      <c r="H473" s="19">
        <f t="shared" si="1"/>
        <v>0.0006633897181</v>
      </c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8">
        <v>45041.0</v>
      </c>
      <c r="B474" s="15">
        <v>603.950012</v>
      </c>
      <c r="C474" s="15">
        <v>611.0</v>
      </c>
      <c r="D474" s="15">
        <v>600.0</v>
      </c>
      <c r="E474" s="15">
        <v>607.900024</v>
      </c>
      <c r="F474" s="15">
        <v>603.797791</v>
      </c>
      <c r="G474" s="15">
        <v>977657.0</v>
      </c>
      <c r="H474" s="19">
        <f t="shared" si="1"/>
        <v>0.00745773918</v>
      </c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8">
        <v>45042.0</v>
      </c>
      <c r="B475" s="15">
        <v>606.0</v>
      </c>
      <c r="C475" s="15">
        <v>613.0</v>
      </c>
      <c r="D475" s="15">
        <v>604.549988</v>
      </c>
      <c r="E475" s="15">
        <v>608.200012</v>
      </c>
      <c r="F475" s="15">
        <v>604.095764</v>
      </c>
      <c r="G475" s="15">
        <v>1087979.0</v>
      </c>
      <c r="H475" s="19">
        <f t="shared" si="1"/>
        <v>0.0004934824612</v>
      </c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8">
        <v>45043.0</v>
      </c>
      <c r="B476" s="15">
        <v>608.200012</v>
      </c>
      <c r="C476" s="15">
        <v>610.150024</v>
      </c>
      <c r="D476" s="15">
        <v>605.0</v>
      </c>
      <c r="E476" s="15">
        <v>606.099976</v>
      </c>
      <c r="F476" s="15">
        <v>602.009888</v>
      </c>
      <c r="G476" s="15">
        <v>702044.0</v>
      </c>
      <c r="H476" s="19">
        <f t="shared" si="1"/>
        <v>-0.003452870698</v>
      </c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8">
        <v>45044.0</v>
      </c>
      <c r="B477" s="15">
        <v>610.099976</v>
      </c>
      <c r="C477" s="15">
        <v>619.650024</v>
      </c>
      <c r="D477" s="15">
        <v>608.400024</v>
      </c>
      <c r="E477" s="15">
        <v>617.799988</v>
      </c>
      <c r="F477" s="15">
        <v>613.63092</v>
      </c>
      <c r="G477" s="15">
        <v>1552366.0</v>
      </c>
      <c r="H477" s="19">
        <f t="shared" si="1"/>
        <v>0.01930376582</v>
      </c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8">
        <v>45048.0</v>
      </c>
      <c r="B478" s="15">
        <v>620.0</v>
      </c>
      <c r="C478" s="15">
        <v>631.0</v>
      </c>
      <c r="D478" s="15">
        <v>618.200012</v>
      </c>
      <c r="E478" s="15">
        <v>626.950012</v>
      </c>
      <c r="F478" s="15">
        <v>622.719177</v>
      </c>
      <c r="G478" s="15">
        <v>2483827.0</v>
      </c>
      <c r="H478" s="19">
        <f t="shared" si="1"/>
        <v>0.01481065746</v>
      </c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8">
        <v>45049.0</v>
      </c>
      <c r="B479" s="15">
        <v>626.450012</v>
      </c>
      <c r="C479" s="15">
        <v>632.799988</v>
      </c>
      <c r="D479" s="15">
        <v>622.599976</v>
      </c>
      <c r="E479" s="15">
        <v>627.700012</v>
      </c>
      <c r="F479" s="15">
        <v>623.464111</v>
      </c>
      <c r="G479" s="15">
        <v>1461740.0</v>
      </c>
      <c r="H479" s="19">
        <f t="shared" si="1"/>
        <v>0.001196267622</v>
      </c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8">
        <v>45050.0</v>
      </c>
      <c r="B480" s="15">
        <v>627.700012</v>
      </c>
      <c r="C480" s="15">
        <v>635.549988</v>
      </c>
      <c r="D480" s="15">
        <v>627.549988</v>
      </c>
      <c r="E480" s="15">
        <v>631.599976</v>
      </c>
      <c r="F480" s="15">
        <v>627.337769</v>
      </c>
      <c r="G480" s="15">
        <v>1244544.0</v>
      </c>
      <c r="H480" s="19">
        <f t="shared" si="1"/>
        <v>0.006213101681</v>
      </c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8">
        <v>45051.0</v>
      </c>
      <c r="B481" s="15">
        <v>630.75</v>
      </c>
      <c r="C481" s="15">
        <v>633.700012</v>
      </c>
      <c r="D481" s="15">
        <v>624.0</v>
      </c>
      <c r="E481" s="15">
        <v>625.400024</v>
      </c>
      <c r="F481" s="15">
        <v>621.179626</v>
      </c>
      <c r="G481" s="15">
        <v>878399.0</v>
      </c>
      <c r="H481" s="19">
        <f t="shared" si="1"/>
        <v>-0.009816263831</v>
      </c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8">
        <v>45054.0</v>
      </c>
      <c r="B482" s="15">
        <v>628.0</v>
      </c>
      <c r="C482" s="15">
        <v>630.599976</v>
      </c>
      <c r="D482" s="15">
        <v>625.400024</v>
      </c>
      <c r="E482" s="15">
        <v>628.099976</v>
      </c>
      <c r="F482" s="15">
        <v>623.861389</v>
      </c>
      <c r="G482" s="15">
        <v>659593.0</v>
      </c>
      <c r="H482" s="19">
        <f t="shared" si="1"/>
        <v>0.004317160052</v>
      </c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8">
        <v>45055.0</v>
      </c>
      <c r="B483" s="15">
        <v>628.099976</v>
      </c>
      <c r="C483" s="15">
        <v>633.400024</v>
      </c>
      <c r="D483" s="15">
        <v>620.0</v>
      </c>
      <c r="E483" s="15">
        <v>622.599976</v>
      </c>
      <c r="F483" s="15">
        <v>618.39856</v>
      </c>
      <c r="G483" s="15">
        <v>935395.0</v>
      </c>
      <c r="H483" s="19">
        <f t="shared" si="1"/>
        <v>-0.00875656776</v>
      </c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8">
        <v>45056.0</v>
      </c>
      <c r="B484" s="15">
        <v>623.0</v>
      </c>
      <c r="C484" s="15">
        <v>625.75</v>
      </c>
      <c r="D484" s="15">
        <v>618.0</v>
      </c>
      <c r="E484" s="15">
        <v>624.299988</v>
      </c>
      <c r="F484" s="15">
        <v>620.087036</v>
      </c>
      <c r="G484" s="15">
        <v>650253.0</v>
      </c>
      <c r="H484" s="19">
        <f t="shared" si="1"/>
        <v>0.002730504442</v>
      </c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8">
        <v>45057.0</v>
      </c>
      <c r="B485" s="15">
        <v>625.049988</v>
      </c>
      <c r="C485" s="15">
        <v>627.650024</v>
      </c>
      <c r="D485" s="15">
        <v>624.299988</v>
      </c>
      <c r="E485" s="15">
        <v>626.599976</v>
      </c>
      <c r="F485" s="15">
        <v>622.371521</v>
      </c>
      <c r="G485" s="15">
        <v>530789.0</v>
      </c>
      <c r="H485" s="19">
        <f t="shared" si="1"/>
        <v>0.003684107071</v>
      </c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8">
        <v>45058.0</v>
      </c>
      <c r="B486" s="15">
        <v>626.599976</v>
      </c>
      <c r="C486" s="15">
        <v>637.200012</v>
      </c>
      <c r="D486" s="15">
        <v>625.049988</v>
      </c>
      <c r="E486" s="15">
        <v>628.450012</v>
      </c>
      <c r="F486" s="15">
        <v>624.209045</v>
      </c>
      <c r="G486" s="15">
        <v>1240961.0</v>
      </c>
      <c r="H486" s="19">
        <f t="shared" si="1"/>
        <v>0.002952499315</v>
      </c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8">
        <v>45061.0</v>
      </c>
      <c r="B487" s="15">
        <v>625.0</v>
      </c>
      <c r="C487" s="15">
        <v>635.599976</v>
      </c>
      <c r="D487" s="15">
        <v>625.0</v>
      </c>
      <c r="E487" s="15">
        <v>632.349976</v>
      </c>
      <c r="F487" s="15">
        <v>628.082703</v>
      </c>
      <c r="G487" s="15">
        <v>927921.0</v>
      </c>
      <c r="H487" s="19">
        <f t="shared" si="1"/>
        <v>0.006205686889</v>
      </c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8">
        <v>45062.0</v>
      </c>
      <c r="B488" s="15">
        <v>632.049988</v>
      </c>
      <c r="C488" s="15">
        <v>636.700012</v>
      </c>
      <c r="D488" s="15">
        <v>624.299988</v>
      </c>
      <c r="E488" s="15">
        <v>626.150024</v>
      </c>
      <c r="F488" s="15">
        <v>621.924561</v>
      </c>
      <c r="G488" s="15">
        <v>676721.0</v>
      </c>
      <c r="H488" s="19">
        <f t="shared" si="1"/>
        <v>-0.009804621231</v>
      </c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8">
        <v>45063.0</v>
      </c>
      <c r="B489" s="15">
        <v>626.150024</v>
      </c>
      <c r="C489" s="15">
        <v>629.0</v>
      </c>
      <c r="D489" s="15">
        <v>618.0</v>
      </c>
      <c r="E489" s="15">
        <v>622.75</v>
      </c>
      <c r="F489" s="15">
        <v>618.547546</v>
      </c>
      <c r="G489" s="15">
        <v>671895.0</v>
      </c>
      <c r="H489" s="19">
        <f t="shared" si="1"/>
        <v>-0.005430046905</v>
      </c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8">
        <v>45064.0</v>
      </c>
      <c r="B490" s="15">
        <v>625.0</v>
      </c>
      <c r="C490" s="15">
        <v>627.799988</v>
      </c>
      <c r="D490" s="15">
        <v>613.0</v>
      </c>
      <c r="E490" s="15">
        <v>614.849976</v>
      </c>
      <c r="F490" s="15">
        <v>610.700806</v>
      </c>
      <c r="G490" s="15">
        <v>723251.0</v>
      </c>
      <c r="H490" s="19">
        <f t="shared" si="1"/>
        <v>-0.01268570695</v>
      </c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8">
        <v>45065.0</v>
      </c>
      <c r="B491" s="15">
        <v>614.849976</v>
      </c>
      <c r="C491" s="15">
        <v>617.0</v>
      </c>
      <c r="D491" s="15">
        <v>604.099976</v>
      </c>
      <c r="E491" s="15">
        <v>610.349976</v>
      </c>
      <c r="F491" s="15">
        <v>606.231201</v>
      </c>
      <c r="G491" s="15">
        <v>847752.0</v>
      </c>
      <c r="H491" s="19">
        <f t="shared" si="1"/>
        <v>-0.007318858544</v>
      </c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8">
        <v>45068.0</v>
      </c>
      <c r="B492" s="15">
        <v>610.349976</v>
      </c>
      <c r="C492" s="15">
        <v>624.900024</v>
      </c>
      <c r="D492" s="15">
        <v>607.099976</v>
      </c>
      <c r="E492" s="15">
        <v>623.5</v>
      </c>
      <c r="F492" s="15">
        <v>619.29248</v>
      </c>
      <c r="G492" s="15">
        <v>1083528.0</v>
      </c>
      <c r="H492" s="19">
        <f t="shared" si="1"/>
        <v>0.02154505532</v>
      </c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8">
        <v>45069.0</v>
      </c>
      <c r="B493" s="15">
        <v>628.400024</v>
      </c>
      <c r="C493" s="15">
        <v>636.299988</v>
      </c>
      <c r="D493" s="15">
        <v>622.0</v>
      </c>
      <c r="E493" s="15">
        <v>624.349976</v>
      </c>
      <c r="F493" s="15">
        <v>620.136658</v>
      </c>
      <c r="G493" s="15">
        <v>1199438.0</v>
      </c>
      <c r="H493" s="19">
        <f t="shared" si="1"/>
        <v>0.00136323336</v>
      </c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8">
        <v>45070.0</v>
      </c>
      <c r="B494" s="15">
        <v>624.0</v>
      </c>
      <c r="C494" s="15">
        <v>626.849976</v>
      </c>
      <c r="D494" s="15">
        <v>618.0</v>
      </c>
      <c r="E494" s="15">
        <v>618.900024</v>
      </c>
      <c r="F494" s="15">
        <v>614.723511</v>
      </c>
      <c r="G494" s="15">
        <v>659056.0</v>
      </c>
      <c r="H494" s="19">
        <f t="shared" si="1"/>
        <v>-0.008729001697</v>
      </c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8">
        <v>45071.0</v>
      </c>
      <c r="B495" s="15">
        <v>619.5</v>
      </c>
      <c r="C495" s="15">
        <v>621.5</v>
      </c>
      <c r="D495" s="15">
        <v>616.0</v>
      </c>
      <c r="E495" s="15">
        <v>618.549988</v>
      </c>
      <c r="F495" s="15">
        <v>614.375854</v>
      </c>
      <c r="G495" s="15">
        <v>595504.0</v>
      </c>
      <c r="H495" s="19">
        <f t="shared" si="1"/>
        <v>-0.0005655776158</v>
      </c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8">
        <v>45072.0</v>
      </c>
      <c r="B496" s="15">
        <v>621.799988</v>
      </c>
      <c r="C496" s="15">
        <v>625.700012</v>
      </c>
      <c r="D496" s="15">
        <v>619.299988</v>
      </c>
      <c r="E496" s="15">
        <v>624.349976</v>
      </c>
      <c r="F496" s="15">
        <v>620.136658</v>
      </c>
      <c r="G496" s="15">
        <v>1185212.0</v>
      </c>
      <c r="H496" s="19">
        <f t="shared" si="1"/>
        <v>0.00937674903</v>
      </c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8">
        <v>45075.0</v>
      </c>
      <c r="B497" s="15">
        <v>630.0</v>
      </c>
      <c r="C497" s="15">
        <v>647.0</v>
      </c>
      <c r="D497" s="15">
        <v>626.25</v>
      </c>
      <c r="E497" s="15">
        <v>645.75</v>
      </c>
      <c r="F497" s="15">
        <v>641.392334</v>
      </c>
      <c r="G497" s="15">
        <v>4019467.0</v>
      </c>
      <c r="H497" s="19">
        <f t="shared" si="1"/>
        <v>0.03427568643</v>
      </c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8">
        <v>45076.0</v>
      </c>
      <c r="B498" s="15">
        <v>637.0</v>
      </c>
      <c r="C498" s="15">
        <v>653.700012</v>
      </c>
      <c r="D498" s="15">
        <v>627.299988</v>
      </c>
      <c r="E498" s="15">
        <v>643.75</v>
      </c>
      <c r="F498" s="15">
        <v>639.405823</v>
      </c>
      <c r="G498" s="15">
        <v>1.0121546E7</v>
      </c>
      <c r="H498" s="19">
        <f t="shared" si="1"/>
        <v>-0.003097173829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8">
        <v>45077.0</v>
      </c>
      <c r="B499" s="15">
        <v>643.0</v>
      </c>
      <c r="C499" s="15">
        <v>650.200012</v>
      </c>
      <c r="D499" s="15">
        <v>640.0</v>
      </c>
      <c r="E499" s="15">
        <v>649.5</v>
      </c>
      <c r="F499" s="15">
        <v>645.117004</v>
      </c>
      <c r="G499" s="15">
        <v>2740993.0</v>
      </c>
      <c r="H499" s="19">
        <f t="shared" si="1"/>
        <v>0.008932038835</v>
      </c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8">
        <v>45078.0</v>
      </c>
      <c r="B500" s="15">
        <v>650.099976</v>
      </c>
      <c r="C500" s="15">
        <v>659.099976</v>
      </c>
      <c r="D500" s="15">
        <v>647.450012</v>
      </c>
      <c r="E500" s="15">
        <v>649.5</v>
      </c>
      <c r="F500" s="15">
        <v>645.117004</v>
      </c>
      <c r="G500" s="15">
        <v>2453298.0</v>
      </c>
      <c r="H500" s="19">
        <f t="shared" si="1"/>
        <v>0</v>
      </c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8">
        <v>45079.0</v>
      </c>
      <c r="B501" s="15">
        <v>653.400024</v>
      </c>
      <c r="C501" s="15">
        <v>654.75</v>
      </c>
      <c r="D501" s="15">
        <v>643.549988</v>
      </c>
      <c r="E501" s="15">
        <v>645.450012</v>
      </c>
      <c r="F501" s="15">
        <v>641.09436</v>
      </c>
      <c r="G501" s="15">
        <v>1537757.0</v>
      </c>
      <c r="H501" s="19">
        <f t="shared" si="1"/>
        <v>-0.006235547344</v>
      </c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8">
        <v>45082.0</v>
      </c>
      <c r="B502" s="15">
        <v>636.0</v>
      </c>
      <c r="C502" s="15">
        <v>647.349976</v>
      </c>
      <c r="D502" s="15">
        <v>636.0</v>
      </c>
      <c r="E502" s="15">
        <v>643.650024</v>
      </c>
      <c r="F502" s="15">
        <v>639.306519</v>
      </c>
      <c r="G502" s="15">
        <v>1619948.0</v>
      </c>
      <c r="H502" s="19">
        <f t="shared" si="1"/>
        <v>-0.00278873339</v>
      </c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8">
        <v>45083.0</v>
      </c>
      <c r="B503" s="15">
        <v>643.799988</v>
      </c>
      <c r="C503" s="15">
        <v>646.450012</v>
      </c>
      <c r="D503" s="15">
        <v>637.049988</v>
      </c>
      <c r="E503" s="15">
        <v>643.0</v>
      </c>
      <c r="F503" s="15">
        <v>638.660889</v>
      </c>
      <c r="G503" s="15">
        <v>882889.0</v>
      </c>
      <c r="H503" s="19">
        <f t="shared" si="1"/>
        <v>-0.00100990286</v>
      </c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8">
        <v>45084.0</v>
      </c>
      <c r="B504" s="15">
        <v>644.049988</v>
      </c>
      <c r="C504" s="15">
        <v>657.799988</v>
      </c>
      <c r="D504" s="15">
        <v>643.950012</v>
      </c>
      <c r="E504" s="15">
        <v>652.900024</v>
      </c>
      <c r="F504" s="15">
        <v>648.49408</v>
      </c>
      <c r="G504" s="15">
        <v>2220779.0</v>
      </c>
      <c r="H504" s="19">
        <f t="shared" si="1"/>
        <v>0.01539661586</v>
      </c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8">
        <v>45085.0</v>
      </c>
      <c r="B505" s="15">
        <v>655.0</v>
      </c>
      <c r="C505" s="15">
        <v>657.799988</v>
      </c>
      <c r="D505" s="15">
        <v>642.400024</v>
      </c>
      <c r="E505" s="15">
        <v>644.0</v>
      </c>
      <c r="F505" s="15">
        <v>639.654114</v>
      </c>
      <c r="G505" s="15">
        <v>1224083.0</v>
      </c>
      <c r="H505" s="19">
        <f t="shared" si="1"/>
        <v>-0.01363152653</v>
      </c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8">
        <v>45086.0</v>
      </c>
      <c r="B506" s="15">
        <v>646.0</v>
      </c>
      <c r="C506" s="15">
        <v>646.950012</v>
      </c>
      <c r="D506" s="15">
        <v>638.900024</v>
      </c>
      <c r="E506" s="15">
        <v>640.150024</v>
      </c>
      <c r="F506" s="15">
        <v>635.830139</v>
      </c>
      <c r="G506" s="15">
        <v>745628.0</v>
      </c>
      <c r="H506" s="19">
        <f t="shared" si="1"/>
        <v>-0.005978223602</v>
      </c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8">
        <v>45089.0</v>
      </c>
      <c r="B507" s="15">
        <v>641.950012</v>
      </c>
      <c r="C507" s="15">
        <v>647.0</v>
      </c>
      <c r="D507" s="15">
        <v>638.599976</v>
      </c>
      <c r="E507" s="15">
        <v>645.900024</v>
      </c>
      <c r="F507" s="15">
        <v>641.541321</v>
      </c>
      <c r="G507" s="15">
        <v>864306.0</v>
      </c>
      <c r="H507" s="19">
        <f t="shared" si="1"/>
        <v>0.008982269444</v>
      </c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8">
        <v>45090.0</v>
      </c>
      <c r="B508" s="15">
        <v>641.349976</v>
      </c>
      <c r="C508" s="15">
        <v>650.5</v>
      </c>
      <c r="D508" s="15">
        <v>641.349976</v>
      </c>
      <c r="E508" s="15">
        <v>647.599976</v>
      </c>
      <c r="F508" s="15">
        <v>643.229858</v>
      </c>
      <c r="G508" s="15">
        <v>956702.0</v>
      </c>
      <c r="H508" s="19">
        <f t="shared" si="1"/>
        <v>0.002631911963</v>
      </c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8">
        <v>45091.0</v>
      </c>
      <c r="B509" s="15">
        <v>646.849976</v>
      </c>
      <c r="C509" s="15">
        <v>649.75</v>
      </c>
      <c r="D509" s="15">
        <v>642.049988</v>
      </c>
      <c r="E509" s="15">
        <v>643.5</v>
      </c>
      <c r="F509" s="15">
        <v>639.157532</v>
      </c>
      <c r="G509" s="15">
        <v>785495.0</v>
      </c>
      <c r="H509" s="19">
        <f t="shared" si="1"/>
        <v>-0.006331031736</v>
      </c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8">
        <v>45092.0</v>
      </c>
      <c r="B510" s="15">
        <v>643.5</v>
      </c>
      <c r="C510" s="15">
        <v>649.0</v>
      </c>
      <c r="D510" s="15">
        <v>641.5</v>
      </c>
      <c r="E510" s="15">
        <v>643.0</v>
      </c>
      <c r="F510" s="15">
        <v>638.660889</v>
      </c>
      <c r="G510" s="15">
        <v>765612.0</v>
      </c>
      <c r="H510" s="19">
        <f t="shared" si="1"/>
        <v>-0.000777000777</v>
      </c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8">
        <v>45093.0</v>
      </c>
      <c r="B511" s="15">
        <v>645.0</v>
      </c>
      <c r="C511" s="15">
        <v>670.650024</v>
      </c>
      <c r="D511" s="15">
        <v>643.200012</v>
      </c>
      <c r="E511" s="15">
        <v>665.0</v>
      </c>
      <c r="F511" s="15">
        <v>660.51239</v>
      </c>
      <c r="G511" s="15">
        <v>5271115.0</v>
      </c>
      <c r="H511" s="19">
        <f t="shared" si="1"/>
        <v>0.03421461897</v>
      </c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8">
        <v>45096.0</v>
      </c>
      <c r="B512" s="15">
        <v>662.0</v>
      </c>
      <c r="C512" s="15">
        <v>675.0</v>
      </c>
      <c r="D512" s="15">
        <v>660.200012</v>
      </c>
      <c r="E512" s="15">
        <v>667.849976</v>
      </c>
      <c r="F512" s="15">
        <v>663.34314</v>
      </c>
      <c r="G512" s="15">
        <v>4493884.0</v>
      </c>
      <c r="H512" s="19">
        <f t="shared" si="1"/>
        <v>0.004285678195</v>
      </c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8">
        <v>45097.0</v>
      </c>
      <c r="B513" s="15">
        <v>668.5</v>
      </c>
      <c r="C513" s="15">
        <v>670.900024</v>
      </c>
      <c r="D513" s="15">
        <v>660.200012</v>
      </c>
      <c r="E513" s="15">
        <v>664.049988</v>
      </c>
      <c r="F513" s="15">
        <v>659.568787</v>
      </c>
      <c r="G513" s="15">
        <v>1519178.0</v>
      </c>
      <c r="H513" s="19">
        <f t="shared" si="1"/>
        <v>-0.005689882663</v>
      </c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8">
        <v>45098.0</v>
      </c>
      <c r="B514" s="15">
        <v>664.049988</v>
      </c>
      <c r="C514" s="15">
        <v>667.5</v>
      </c>
      <c r="D514" s="15">
        <v>659.0</v>
      </c>
      <c r="E514" s="15">
        <v>662.349976</v>
      </c>
      <c r="F514" s="15">
        <v>657.880249</v>
      </c>
      <c r="G514" s="15">
        <v>1006572.0</v>
      </c>
      <c r="H514" s="19">
        <f t="shared" si="1"/>
        <v>-0.002560066306</v>
      </c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8">
        <v>45099.0</v>
      </c>
      <c r="B515" s="15">
        <v>663.450012</v>
      </c>
      <c r="C515" s="15">
        <v>666.700012</v>
      </c>
      <c r="D515" s="15">
        <v>641.799988</v>
      </c>
      <c r="E515" s="15">
        <v>644.900024</v>
      </c>
      <c r="F515" s="15">
        <v>640.548096</v>
      </c>
      <c r="G515" s="15">
        <v>1913224.0</v>
      </c>
      <c r="H515" s="19">
        <f t="shared" si="1"/>
        <v>-0.02634551617</v>
      </c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8">
        <v>45100.0</v>
      </c>
      <c r="B516" s="15">
        <v>644.900024</v>
      </c>
      <c r="C516" s="15">
        <v>646.0</v>
      </c>
      <c r="D516" s="15">
        <v>625.599976</v>
      </c>
      <c r="E516" s="15">
        <v>627.799988</v>
      </c>
      <c r="F516" s="15">
        <v>623.563416</v>
      </c>
      <c r="G516" s="15">
        <v>1975633.0</v>
      </c>
      <c r="H516" s="19">
        <f t="shared" si="1"/>
        <v>-0.02651579371</v>
      </c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8">
        <v>45103.0</v>
      </c>
      <c r="B517" s="15">
        <v>625.0</v>
      </c>
      <c r="C517" s="15">
        <v>633.700012</v>
      </c>
      <c r="D517" s="15">
        <v>621.650024</v>
      </c>
      <c r="E517" s="15">
        <v>632.450012</v>
      </c>
      <c r="F517" s="15">
        <v>628.182068</v>
      </c>
      <c r="G517" s="15">
        <v>914109.0</v>
      </c>
      <c r="H517" s="19">
        <f t="shared" si="1"/>
        <v>0.007406855828</v>
      </c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8">
        <v>45104.0</v>
      </c>
      <c r="B518" s="15">
        <v>635.5</v>
      </c>
      <c r="C518" s="15">
        <v>636.5</v>
      </c>
      <c r="D518" s="15">
        <v>629.150024</v>
      </c>
      <c r="E518" s="15">
        <v>630.599976</v>
      </c>
      <c r="F518" s="15">
        <v>626.344543</v>
      </c>
      <c r="G518" s="15">
        <v>871962.0</v>
      </c>
      <c r="H518" s="19">
        <f t="shared" si="1"/>
        <v>-0.002925189288</v>
      </c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8">
        <v>45105.0</v>
      </c>
      <c r="B519" s="15">
        <v>633.0</v>
      </c>
      <c r="C519" s="15">
        <v>634.5</v>
      </c>
      <c r="D519" s="15">
        <v>626.549988</v>
      </c>
      <c r="E519" s="15">
        <v>628.799988</v>
      </c>
      <c r="F519" s="15">
        <v>624.556702</v>
      </c>
      <c r="G519" s="15">
        <v>1192576.0</v>
      </c>
      <c r="H519" s="19">
        <f t="shared" si="1"/>
        <v>-0.002854405437</v>
      </c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8">
        <v>45107.0</v>
      </c>
      <c r="B520" s="15">
        <v>632.25</v>
      </c>
      <c r="C520" s="15">
        <v>641.5</v>
      </c>
      <c r="D520" s="15">
        <v>630.25</v>
      </c>
      <c r="E520" s="15">
        <v>635.099976</v>
      </c>
      <c r="F520" s="15">
        <v>630.814209</v>
      </c>
      <c r="G520" s="15">
        <v>1309614.0</v>
      </c>
      <c r="H520" s="19">
        <f t="shared" si="1"/>
        <v>0.01001906508</v>
      </c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8">
        <v>45110.0</v>
      </c>
      <c r="B521" s="15">
        <v>635.799988</v>
      </c>
      <c r="C521" s="15">
        <v>640.049988</v>
      </c>
      <c r="D521" s="15">
        <v>632.0</v>
      </c>
      <c r="E521" s="15">
        <v>633.099976</v>
      </c>
      <c r="F521" s="15">
        <v>628.827698</v>
      </c>
      <c r="G521" s="15">
        <v>782176.0</v>
      </c>
      <c r="H521" s="19">
        <f t="shared" si="1"/>
        <v>-0.003149110495</v>
      </c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8">
        <v>45111.0</v>
      </c>
      <c r="B522" s="15">
        <v>634.0</v>
      </c>
      <c r="C522" s="15">
        <v>636.75</v>
      </c>
      <c r="D522" s="15">
        <v>627.049988</v>
      </c>
      <c r="E522" s="15">
        <v>628.700012</v>
      </c>
      <c r="F522" s="15">
        <v>624.457397</v>
      </c>
      <c r="G522" s="15">
        <v>939181.0</v>
      </c>
      <c r="H522" s="19">
        <f t="shared" si="1"/>
        <v>-0.006949872322</v>
      </c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8">
        <v>45112.0</v>
      </c>
      <c r="B523" s="15">
        <v>629.700012</v>
      </c>
      <c r="C523" s="15">
        <v>633.0</v>
      </c>
      <c r="D523" s="15">
        <v>627.099976</v>
      </c>
      <c r="E523" s="15">
        <v>630.599976</v>
      </c>
      <c r="F523" s="15">
        <v>626.344543</v>
      </c>
      <c r="G523" s="15">
        <v>690230.0</v>
      </c>
      <c r="H523" s="19">
        <f t="shared" si="1"/>
        <v>0.003022051795</v>
      </c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8">
        <v>45113.0</v>
      </c>
      <c r="B524" s="15">
        <v>628.0</v>
      </c>
      <c r="C524" s="15">
        <v>633.349976</v>
      </c>
      <c r="D524" s="15">
        <v>627.599976</v>
      </c>
      <c r="E524" s="15">
        <v>632.299988</v>
      </c>
      <c r="F524" s="15">
        <v>628.033081</v>
      </c>
      <c r="G524" s="15">
        <v>824834.0</v>
      </c>
      <c r="H524" s="19">
        <f t="shared" si="1"/>
        <v>0.002695864359</v>
      </c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8">
        <v>45114.0</v>
      </c>
      <c r="B525" s="15">
        <v>632.299988</v>
      </c>
      <c r="C525" s="15">
        <v>636.450012</v>
      </c>
      <c r="D525" s="15">
        <v>627.0</v>
      </c>
      <c r="E525" s="15">
        <v>630.650024</v>
      </c>
      <c r="F525" s="15">
        <v>626.394226</v>
      </c>
      <c r="G525" s="15">
        <v>1054909.0</v>
      </c>
      <c r="H525" s="19">
        <f t="shared" si="1"/>
        <v>-0.002609463912</v>
      </c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8">
        <v>45117.0</v>
      </c>
      <c r="B526" s="15">
        <v>631.75</v>
      </c>
      <c r="C526" s="15">
        <v>632.0</v>
      </c>
      <c r="D526" s="15">
        <v>614.349976</v>
      </c>
      <c r="E526" s="15">
        <v>615.900024</v>
      </c>
      <c r="F526" s="15">
        <v>611.743774</v>
      </c>
      <c r="G526" s="15">
        <v>1947356.0</v>
      </c>
      <c r="H526" s="19">
        <f t="shared" si="1"/>
        <v>-0.02338856646</v>
      </c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8">
        <v>45118.0</v>
      </c>
      <c r="B527" s="15">
        <v>616.25</v>
      </c>
      <c r="C527" s="15">
        <v>624.549988</v>
      </c>
      <c r="D527" s="15">
        <v>615.0</v>
      </c>
      <c r="E527" s="15">
        <v>619.0</v>
      </c>
      <c r="F527" s="15">
        <v>614.822815</v>
      </c>
      <c r="G527" s="15">
        <v>1079845.0</v>
      </c>
      <c r="H527" s="19">
        <f t="shared" si="1"/>
        <v>0.005033245461</v>
      </c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8">
        <v>45119.0</v>
      </c>
      <c r="B528" s="15">
        <v>619.849976</v>
      </c>
      <c r="C528" s="15">
        <v>622.450012</v>
      </c>
      <c r="D528" s="15">
        <v>615.099976</v>
      </c>
      <c r="E528" s="15">
        <v>620.700012</v>
      </c>
      <c r="F528" s="15">
        <v>616.511414</v>
      </c>
      <c r="G528" s="15">
        <v>957020.0</v>
      </c>
      <c r="H528" s="19">
        <f t="shared" si="1"/>
        <v>0.002746384491</v>
      </c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8">
        <v>45120.0</v>
      </c>
      <c r="B529" s="15">
        <v>623.0</v>
      </c>
      <c r="C529" s="15">
        <v>626.599976</v>
      </c>
      <c r="D529" s="15">
        <v>614.5</v>
      </c>
      <c r="E529" s="15">
        <v>617.75</v>
      </c>
      <c r="F529" s="15">
        <v>613.581238</v>
      </c>
      <c r="G529" s="15">
        <v>966834.0</v>
      </c>
      <c r="H529" s="19">
        <f t="shared" si="1"/>
        <v>-0.004752717807</v>
      </c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8">
        <v>45121.0</v>
      </c>
      <c r="B530" s="15">
        <v>619.900024</v>
      </c>
      <c r="C530" s="15">
        <v>623.700012</v>
      </c>
      <c r="D530" s="15">
        <v>616.599976</v>
      </c>
      <c r="E530" s="15">
        <v>622.849976</v>
      </c>
      <c r="F530" s="15">
        <v>618.646851</v>
      </c>
      <c r="G530" s="15">
        <v>757598.0</v>
      </c>
      <c r="H530" s="19">
        <f t="shared" si="1"/>
        <v>0.008255728045</v>
      </c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8">
        <v>45124.0</v>
      </c>
      <c r="B531" s="15">
        <v>622.049988</v>
      </c>
      <c r="C531" s="15">
        <v>629.950012</v>
      </c>
      <c r="D531" s="15">
        <v>622.0</v>
      </c>
      <c r="E531" s="15">
        <v>625.549988</v>
      </c>
      <c r="F531" s="15">
        <v>621.328613</v>
      </c>
      <c r="G531" s="15">
        <v>1006467.0</v>
      </c>
      <c r="H531" s="19">
        <f t="shared" si="1"/>
        <v>0.004334931531</v>
      </c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8">
        <v>45125.0</v>
      </c>
      <c r="B532" s="15">
        <v>626.0</v>
      </c>
      <c r="C532" s="15">
        <v>628.049988</v>
      </c>
      <c r="D532" s="15">
        <v>620.0</v>
      </c>
      <c r="E532" s="15">
        <v>622.849976</v>
      </c>
      <c r="F532" s="15">
        <v>618.646851</v>
      </c>
      <c r="G532" s="15">
        <v>763870.0</v>
      </c>
      <c r="H532" s="19">
        <f t="shared" si="1"/>
        <v>-0.004316221008</v>
      </c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8">
        <v>45126.0</v>
      </c>
      <c r="B533" s="15">
        <v>623.0</v>
      </c>
      <c r="C533" s="15">
        <v>627.5</v>
      </c>
      <c r="D533" s="15">
        <v>622.799988</v>
      </c>
      <c r="E533" s="15">
        <v>625.5</v>
      </c>
      <c r="F533" s="15">
        <v>621.278931</v>
      </c>
      <c r="G533" s="15">
        <v>655382.0</v>
      </c>
      <c r="H533" s="19">
        <f t="shared" si="1"/>
        <v>0.004254674644</v>
      </c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8">
        <v>45127.0</v>
      </c>
      <c r="B534" s="15">
        <v>624.900024</v>
      </c>
      <c r="C534" s="15">
        <v>626.950012</v>
      </c>
      <c r="D534" s="15">
        <v>622.200012</v>
      </c>
      <c r="E534" s="15">
        <v>625.150024</v>
      </c>
      <c r="F534" s="15">
        <v>620.931335</v>
      </c>
      <c r="G534" s="15">
        <v>635393.0</v>
      </c>
      <c r="H534" s="19">
        <f t="shared" si="1"/>
        <v>-0.0005595139888</v>
      </c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8">
        <v>45128.0</v>
      </c>
      <c r="B535" s="15">
        <v>624.0</v>
      </c>
      <c r="C535" s="15">
        <v>630.400024</v>
      </c>
      <c r="D535" s="15">
        <v>620.400024</v>
      </c>
      <c r="E535" s="15">
        <v>623.099976</v>
      </c>
      <c r="F535" s="15">
        <v>618.895142</v>
      </c>
      <c r="G535" s="15">
        <v>1112376.0</v>
      </c>
      <c r="H535" s="19">
        <f t="shared" si="1"/>
        <v>-0.003279289645</v>
      </c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8">
        <v>45131.0</v>
      </c>
      <c r="B536" s="15">
        <v>623.200012</v>
      </c>
      <c r="C536" s="15">
        <v>627.0</v>
      </c>
      <c r="D536" s="15">
        <v>618.349976</v>
      </c>
      <c r="E536" s="15">
        <v>620.299988</v>
      </c>
      <c r="F536" s="15">
        <v>616.114075</v>
      </c>
      <c r="G536" s="15">
        <v>875139.0</v>
      </c>
      <c r="H536" s="19">
        <f t="shared" si="1"/>
        <v>-0.004493641643</v>
      </c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8">
        <v>45132.0</v>
      </c>
      <c r="B537" s="15">
        <v>621.5</v>
      </c>
      <c r="C537" s="15">
        <v>625.0</v>
      </c>
      <c r="D537" s="15">
        <v>615.599976</v>
      </c>
      <c r="E537" s="15">
        <v>619.450012</v>
      </c>
      <c r="F537" s="15">
        <v>615.269836</v>
      </c>
      <c r="G537" s="15">
        <v>842704.0</v>
      </c>
      <c r="H537" s="19">
        <f t="shared" si="1"/>
        <v>-0.001370266027</v>
      </c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8">
        <v>45133.0</v>
      </c>
      <c r="B538" s="15">
        <v>619.450012</v>
      </c>
      <c r="C538" s="15">
        <v>624.0</v>
      </c>
      <c r="D538" s="15">
        <v>618.599976</v>
      </c>
      <c r="E538" s="15">
        <v>620.0</v>
      </c>
      <c r="F538" s="15">
        <v>615.816101</v>
      </c>
      <c r="G538" s="15">
        <v>781540.0</v>
      </c>
      <c r="H538" s="19">
        <f t="shared" si="1"/>
        <v>0.0008878650244</v>
      </c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8">
        <v>45134.0</v>
      </c>
      <c r="B539" s="15">
        <v>622.900024</v>
      </c>
      <c r="C539" s="15">
        <v>624.900024</v>
      </c>
      <c r="D539" s="15">
        <v>617.049988</v>
      </c>
      <c r="E539" s="15">
        <v>619.5</v>
      </c>
      <c r="F539" s="15">
        <v>615.319458</v>
      </c>
      <c r="G539" s="15">
        <v>904121.0</v>
      </c>
      <c r="H539" s="19">
        <f t="shared" si="1"/>
        <v>-0.0008064516129</v>
      </c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8">
        <v>45135.0</v>
      </c>
      <c r="B540" s="15">
        <v>620.0</v>
      </c>
      <c r="C540" s="15">
        <v>631.950012</v>
      </c>
      <c r="D540" s="15">
        <v>618.200012</v>
      </c>
      <c r="E540" s="15">
        <v>630.650024</v>
      </c>
      <c r="F540" s="15">
        <v>626.394226</v>
      </c>
      <c r="G540" s="15">
        <v>1464610.0</v>
      </c>
      <c r="H540" s="19">
        <f t="shared" si="1"/>
        <v>0.01799842454</v>
      </c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8">
        <v>45138.0</v>
      </c>
      <c r="B541" s="15">
        <v>632.5</v>
      </c>
      <c r="C541" s="15">
        <v>642.650024</v>
      </c>
      <c r="D541" s="15">
        <v>631.049988</v>
      </c>
      <c r="E541" s="15">
        <v>640.650024</v>
      </c>
      <c r="F541" s="15">
        <v>636.326721</v>
      </c>
      <c r="G541" s="15">
        <v>2235245.0</v>
      </c>
      <c r="H541" s="19">
        <f t="shared" si="1"/>
        <v>0.01585665523</v>
      </c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8">
        <v>45139.0</v>
      </c>
      <c r="B542" s="15">
        <v>642.0</v>
      </c>
      <c r="C542" s="15">
        <v>648.900024</v>
      </c>
      <c r="D542" s="15">
        <v>635.650024</v>
      </c>
      <c r="E542" s="15">
        <v>642.75</v>
      </c>
      <c r="F542" s="15">
        <v>638.412537</v>
      </c>
      <c r="G542" s="15">
        <v>2000678.0</v>
      </c>
      <c r="H542" s="19">
        <f t="shared" si="1"/>
        <v>0.003277883277</v>
      </c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8">
        <v>45140.0</v>
      </c>
      <c r="B543" s="15">
        <v>643.0</v>
      </c>
      <c r="C543" s="15">
        <v>644.25</v>
      </c>
      <c r="D543" s="15">
        <v>630.599976</v>
      </c>
      <c r="E543" s="15">
        <v>637.75</v>
      </c>
      <c r="F543" s="15">
        <v>633.446289</v>
      </c>
      <c r="G543" s="15">
        <v>1033405.0</v>
      </c>
      <c r="H543" s="19">
        <f t="shared" si="1"/>
        <v>-0.00777907429</v>
      </c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8">
        <v>45141.0</v>
      </c>
      <c r="B544" s="15">
        <v>637.950012</v>
      </c>
      <c r="C544" s="15">
        <v>662.599976</v>
      </c>
      <c r="D544" s="15">
        <v>635.099976</v>
      </c>
      <c r="E544" s="15">
        <v>660.200012</v>
      </c>
      <c r="F544" s="15">
        <v>655.744873</v>
      </c>
      <c r="G544" s="15">
        <v>4563922.0</v>
      </c>
      <c r="H544" s="19">
        <f t="shared" si="1"/>
        <v>0.03520190043</v>
      </c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8">
        <v>45142.0</v>
      </c>
      <c r="B545" s="15">
        <v>666.5</v>
      </c>
      <c r="C545" s="15">
        <v>668.900024</v>
      </c>
      <c r="D545" s="15">
        <v>651.599976</v>
      </c>
      <c r="E545" s="15">
        <v>653.549988</v>
      </c>
      <c r="F545" s="15">
        <v>649.139648</v>
      </c>
      <c r="G545" s="15">
        <v>2364709.0</v>
      </c>
      <c r="H545" s="19">
        <f t="shared" si="1"/>
        <v>-0.01007274141</v>
      </c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8">
        <v>45145.0</v>
      </c>
      <c r="B546" s="15">
        <v>658.0</v>
      </c>
      <c r="C546" s="15">
        <v>658.5</v>
      </c>
      <c r="D546" s="15">
        <v>649.150024</v>
      </c>
      <c r="E546" s="15">
        <v>653.799988</v>
      </c>
      <c r="F546" s="15">
        <v>649.388</v>
      </c>
      <c r="G546" s="15">
        <v>1052162.0</v>
      </c>
      <c r="H546" s="19">
        <f t="shared" si="1"/>
        <v>0.0003825262101</v>
      </c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8">
        <v>45146.0</v>
      </c>
      <c r="B547" s="15">
        <v>656.799988</v>
      </c>
      <c r="C547" s="15">
        <v>658.299988</v>
      </c>
      <c r="D547" s="15">
        <v>640.650024</v>
      </c>
      <c r="E547" s="15">
        <v>642.599976</v>
      </c>
      <c r="F547" s="15">
        <v>638.26355</v>
      </c>
      <c r="G547" s="15">
        <v>1180459.0</v>
      </c>
      <c r="H547" s="19">
        <f t="shared" si="1"/>
        <v>-0.01713063965</v>
      </c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8">
        <v>45147.0</v>
      </c>
      <c r="B548" s="15">
        <v>645.799988</v>
      </c>
      <c r="C548" s="15">
        <v>653.299988</v>
      </c>
      <c r="D548" s="15">
        <v>640.349976</v>
      </c>
      <c r="E548" s="15">
        <v>648.650024</v>
      </c>
      <c r="F548" s="15">
        <v>644.272827</v>
      </c>
      <c r="G548" s="15">
        <v>1792990.0</v>
      </c>
      <c r="H548" s="19">
        <f t="shared" si="1"/>
        <v>0.00941495211</v>
      </c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8">
        <v>45148.0</v>
      </c>
      <c r="B549" s="15">
        <v>648.950012</v>
      </c>
      <c r="C549" s="15">
        <v>648.950012</v>
      </c>
      <c r="D549" s="15">
        <v>635.099976</v>
      </c>
      <c r="E549" s="15">
        <v>646.450012</v>
      </c>
      <c r="F549" s="15">
        <v>642.087646</v>
      </c>
      <c r="G549" s="15">
        <v>2510995.0</v>
      </c>
      <c r="H549" s="19">
        <f t="shared" si="1"/>
        <v>-0.003391677975</v>
      </c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8">
        <v>45149.0</v>
      </c>
      <c r="B550" s="15">
        <v>647.0</v>
      </c>
      <c r="C550" s="15">
        <v>679.700012</v>
      </c>
      <c r="D550" s="15">
        <v>645.450012</v>
      </c>
      <c r="E550" s="15">
        <v>662.5</v>
      </c>
      <c r="F550" s="15">
        <v>658.029236</v>
      </c>
      <c r="G550" s="15">
        <v>8325028.0</v>
      </c>
      <c r="H550" s="19">
        <f t="shared" si="1"/>
        <v>0.02482788723</v>
      </c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8">
        <v>45152.0</v>
      </c>
      <c r="B551" s="15">
        <v>663.650024</v>
      </c>
      <c r="C551" s="15">
        <v>663.650024</v>
      </c>
      <c r="D551" s="15">
        <v>638.549988</v>
      </c>
      <c r="E551" s="15">
        <v>649.650024</v>
      </c>
      <c r="F551" s="15">
        <v>645.265991</v>
      </c>
      <c r="G551" s="15">
        <v>2976922.0</v>
      </c>
      <c r="H551" s="19">
        <f t="shared" si="1"/>
        <v>-0.01939619019</v>
      </c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8">
        <v>45154.0</v>
      </c>
      <c r="B552" s="15">
        <v>649.650024</v>
      </c>
      <c r="C552" s="15">
        <v>649.799988</v>
      </c>
      <c r="D552" s="15">
        <v>639.099976</v>
      </c>
      <c r="E552" s="15">
        <v>641.349976</v>
      </c>
      <c r="F552" s="15">
        <v>637.021973</v>
      </c>
      <c r="G552" s="15">
        <v>1177223.0</v>
      </c>
      <c r="H552" s="19">
        <f t="shared" si="1"/>
        <v>-0.01277618363</v>
      </c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8">
        <v>45155.0</v>
      </c>
      <c r="B553" s="15">
        <v>643.400024</v>
      </c>
      <c r="C553" s="15">
        <v>652.200012</v>
      </c>
      <c r="D553" s="15">
        <v>639.0</v>
      </c>
      <c r="E553" s="15">
        <v>649.099976</v>
      </c>
      <c r="F553" s="15">
        <v>644.719666</v>
      </c>
      <c r="G553" s="15">
        <v>1611226.0</v>
      </c>
      <c r="H553" s="19">
        <f t="shared" si="1"/>
        <v>0.01208388601</v>
      </c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8">
        <v>45156.0</v>
      </c>
      <c r="B554" s="15">
        <v>647.5</v>
      </c>
      <c r="C554" s="15">
        <v>656.900024</v>
      </c>
      <c r="D554" s="15">
        <v>641.049988</v>
      </c>
      <c r="E554" s="15">
        <v>643.400024</v>
      </c>
      <c r="F554" s="15">
        <v>641.033325</v>
      </c>
      <c r="G554" s="15">
        <v>1353750.0</v>
      </c>
      <c r="H554" s="19">
        <f t="shared" si="1"/>
        <v>-0.008781315993</v>
      </c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8">
        <v>45159.0</v>
      </c>
      <c r="B555" s="15">
        <v>643.400024</v>
      </c>
      <c r="C555" s="15">
        <v>652.0</v>
      </c>
      <c r="D555" s="15">
        <v>640.400024</v>
      </c>
      <c r="E555" s="15">
        <v>650.5</v>
      </c>
      <c r="F555" s="15">
        <v>648.107239</v>
      </c>
      <c r="G555" s="15">
        <v>1495106.0</v>
      </c>
      <c r="H555" s="19">
        <f t="shared" si="1"/>
        <v>0.01103508818</v>
      </c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8">
        <v>45160.0</v>
      </c>
      <c r="B556" s="15">
        <v>651.099976</v>
      </c>
      <c r="C556" s="15">
        <v>656.5</v>
      </c>
      <c r="D556" s="15">
        <v>647.25</v>
      </c>
      <c r="E556" s="15">
        <v>651.700012</v>
      </c>
      <c r="F556" s="15">
        <v>649.302795</v>
      </c>
      <c r="G556" s="15">
        <v>1048022.0</v>
      </c>
      <c r="H556" s="19">
        <f t="shared" si="1"/>
        <v>0.001844753267</v>
      </c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8">
        <v>45161.0</v>
      </c>
      <c r="B557" s="15">
        <v>653.0</v>
      </c>
      <c r="C557" s="15">
        <v>659.599976</v>
      </c>
      <c r="D557" s="15">
        <v>648.549988</v>
      </c>
      <c r="E557" s="15">
        <v>649.650024</v>
      </c>
      <c r="F557" s="15">
        <v>647.260376</v>
      </c>
      <c r="G557" s="15">
        <v>1078844.0</v>
      </c>
      <c r="H557" s="19">
        <f t="shared" si="1"/>
        <v>-0.003145600679</v>
      </c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8">
        <v>45162.0</v>
      </c>
      <c r="B558" s="15">
        <v>652.049988</v>
      </c>
      <c r="C558" s="15">
        <v>664.5</v>
      </c>
      <c r="D558" s="15">
        <v>652.0</v>
      </c>
      <c r="E558" s="15">
        <v>659.599976</v>
      </c>
      <c r="F558" s="15">
        <v>657.173706</v>
      </c>
      <c r="G558" s="15">
        <v>2183330.0</v>
      </c>
      <c r="H558" s="19">
        <f t="shared" si="1"/>
        <v>0.0153158649</v>
      </c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8">
        <v>45163.0</v>
      </c>
      <c r="B559" s="15">
        <v>660.400024</v>
      </c>
      <c r="C559" s="15">
        <v>670.0</v>
      </c>
      <c r="D559" s="15">
        <v>651.0</v>
      </c>
      <c r="E559" s="15">
        <v>658.25</v>
      </c>
      <c r="F559" s="15">
        <v>655.828735</v>
      </c>
      <c r="G559" s="15">
        <v>3014348.0</v>
      </c>
      <c r="H559" s="19">
        <f t="shared" si="1"/>
        <v>-0.002046658655</v>
      </c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8">
        <v>45166.0</v>
      </c>
      <c r="B560" s="15">
        <v>659.0</v>
      </c>
      <c r="C560" s="15">
        <v>684.099976</v>
      </c>
      <c r="D560" s="15">
        <v>656.150024</v>
      </c>
      <c r="E560" s="15">
        <v>678.099976</v>
      </c>
      <c r="F560" s="15">
        <v>675.605652</v>
      </c>
      <c r="G560" s="15">
        <v>5261237.0</v>
      </c>
      <c r="H560" s="19">
        <f t="shared" si="1"/>
        <v>0.03015567945</v>
      </c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8">
        <v>45167.0</v>
      </c>
      <c r="B561" s="15">
        <v>684.0</v>
      </c>
      <c r="C561" s="15">
        <v>686.0</v>
      </c>
      <c r="D561" s="15">
        <v>671.25</v>
      </c>
      <c r="E561" s="15">
        <v>672.5</v>
      </c>
      <c r="F561" s="15">
        <v>670.026306</v>
      </c>
      <c r="G561" s="15">
        <v>2900392.0</v>
      </c>
      <c r="H561" s="19">
        <f t="shared" si="1"/>
        <v>-0.008258333871</v>
      </c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8">
        <v>45168.0</v>
      </c>
      <c r="B562" s="15">
        <v>678.0</v>
      </c>
      <c r="C562" s="15">
        <v>682.799988</v>
      </c>
      <c r="D562" s="15">
        <v>671.0</v>
      </c>
      <c r="E562" s="15">
        <v>672.549988</v>
      </c>
      <c r="F562" s="15">
        <v>670.076111</v>
      </c>
      <c r="G562" s="15">
        <v>1632153.0</v>
      </c>
      <c r="H562" s="19">
        <f t="shared" si="1"/>
        <v>0.00007433159851</v>
      </c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8">
        <v>45169.0</v>
      </c>
      <c r="B563" s="15">
        <v>677.0</v>
      </c>
      <c r="C563" s="15">
        <v>678.799988</v>
      </c>
      <c r="D563" s="15">
        <v>668.799988</v>
      </c>
      <c r="E563" s="15">
        <v>672.0</v>
      </c>
      <c r="F563" s="15">
        <v>669.528137</v>
      </c>
      <c r="G563" s="15">
        <v>1663214.0</v>
      </c>
      <c r="H563" s="19">
        <f t="shared" si="1"/>
        <v>-0.0008177652365</v>
      </c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8">
        <v>45170.0</v>
      </c>
      <c r="B564" s="15">
        <v>675.75</v>
      </c>
      <c r="C564" s="15">
        <v>689.650024</v>
      </c>
      <c r="D564" s="15">
        <v>672.549988</v>
      </c>
      <c r="E564" s="15">
        <v>688.349976</v>
      </c>
      <c r="F564" s="15">
        <v>685.817932</v>
      </c>
      <c r="G564" s="15">
        <v>4146601.0</v>
      </c>
      <c r="H564" s="19">
        <f t="shared" si="1"/>
        <v>0.02433032143</v>
      </c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8">
        <v>45173.0</v>
      </c>
      <c r="B565" s="15">
        <v>693.549988</v>
      </c>
      <c r="C565" s="15">
        <v>708.0</v>
      </c>
      <c r="D565" s="15">
        <v>692.049988</v>
      </c>
      <c r="E565" s="15">
        <v>703.25</v>
      </c>
      <c r="F565" s="15">
        <v>700.663208</v>
      </c>
      <c r="G565" s="15">
        <v>6419929.0</v>
      </c>
      <c r="H565" s="19">
        <f t="shared" si="1"/>
        <v>0.02164600061</v>
      </c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8">
        <v>45174.0</v>
      </c>
      <c r="B566" s="15">
        <v>707.849976</v>
      </c>
      <c r="C566" s="15">
        <v>711.450012</v>
      </c>
      <c r="D566" s="15">
        <v>696.0</v>
      </c>
      <c r="E566" s="15">
        <v>701.900024</v>
      </c>
      <c r="F566" s="15">
        <v>699.318176</v>
      </c>
      <c r="G566" s="15">
        <v>2678643.0</v>
      </c>
      <c r="H566" s="19">
        <f t="shared" si="1"/>
        <v>-0.0019196246</v>
      </c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8">
        <v>45175.0</v>
      </c>
      <c r="B567" s="15">
        <v>701.900024</v>
      </c>
      <c r="C567" s="15">
        <v>715.900024</v>
      </c>
      <c r="D567" s="15">
        <v>696.049988</v>
      </c>
      <c r="E567" s="15">
        <v>708.5</v>
      </c>
      <c r="F567" s="15">
        <v>705.89386</v>
      </c>
      <c r="G567" s="15">
        <v>3235426.0</v>
      </c>
      <c r="H567" s="19">
        <f t="shared" si="1"/>
        <v>0.009403014353</v>
      </c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8">
        <v>45176.0</v>
      </c>
      <c r="B568" s="15">
        <v>707.900024</v>
      </c>
      <c r="C568" s="15">
        <v>713.549988</v>
      </c>
      <c r="D568" s="15">
        <v>704.450012</v>
      </c>
      <c r="E568" s="15">
        <v>707.25</v>
      </c>
      <c r="F568" s="15">
        <v>704.648438</v>
      </c>
      <c r="G568" s="15">
        <v>1886439.0</v>
      </c>
      <c r="H568" s="19">
        <f t="shared" si="1"/>
        <v>-0.001764290755</v>
      </c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8">
        <v>45177.0</v>
      </c>
      <c r="B569" s="15">
        <v>710.0</v>
      </c>
      <c r="C569" s="15">
        <v>758.0</v>
      </c>
      <c r="D569" s="15">
        <v>707.299988</v>
      </c>
      <c r="E569" s="15">
        <v>725.549988</v>
      </c>
      <c r="F569" s="15">
        <v>722.881165</v>
      </c>
      <c r="G569" s="15">
        <v>1.3572298E7</v>
      </c>
      <c r="H569" s="19">
        <f t="shared" si="1"/>
        <v>0.02587485048</v>
      </c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8">
        <v>45180.0</v>
      </c>
      <c r="B570" s="15">
        <v>733.0</v>
      </c>
      <c r="C570" s="15">
        <v>733.400024</v>
      </c>
      <c r="D570" s="15">
        <v>716.150024</v>
      </c>
      <c r="E570" s="15">
        <v>717.400024</v>
      </c>
      <c r="F570" s="15">
        <v>714.761169</v>
      </c>
      <c r="G570" s="15">
        <v>5096622.0</v>
      </c>
      <c r="H570" s="19">
        <f t="shared" si="1"/>
        <v>-0.0112328084</v>
      </c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8">
        <v>45181.0</v>
      </c>
      <c r="B571" s="15">
        <v>720.950012</v>
      </c>
      <c r="C571" s="15">
        <v>722.299988</v>
      </c>
      <c r="D571" s="15">
        <v>686.0</v>
      </c>
      <c r="E571" s="15">
        <v>688.200012</v>
      </c>
      <c r="F571" s="15">
        <v>685.668579</v>
      </c>
      <c r="G571" s="15">
        <v>4330553.0</v>
      </c>
      <c r="H571" s="19">
        <f t="shared" si="1"/>
        <v>-0.0407025523</v>
      </c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8">
        <v>45182.0</v>
      </c>
      <c r="B572" s="15">
        <v>688.950012</v>
      </c>
      <c r="C572" s="15">
        <v>694.700012</v>
      </c>
      <c r="D572" s="15">
        <v>680.549988</v>
      </c>
      <c r="E572" s="15">
        <v>687.0</v>
      </c>
      <c r="F572" s="15">
        <v>684.472961</v>
      </c>
      <c r="G572" s="15">
        <v>2241575.0</v>
      </c>
      <c r="H572" s="19">
        <f t="shared" si="1"/>
        <v>-0.001743696569</v>
      </c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8">
        <v>45183.0</v>
      </c>
      <c r="B573" s="15">
        <v>698.0</v>
      </c>
      <c r="C573" s="15">
        <v>704.299988</v>
      </c>
      <c r="D573" s="15">
        <v>691.650024</v>
      </c>
      <c r="E573" s="15">
        <v>696.400024</v>
      </c>
      <c r="F573" s="15">
        <v>693.838379</v>
      </c>
      <c r="G573" s="15">
        <v>2678027.0</v>
      </c>
      <c r="H573" s="19">
        <f t="shared" si="1"/>
        <v>0.01368271325</v>
      </c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8">
        <v>45184.0</v>
      </c>
      <c r="B574" s="15">
        <v>701.950012</v>
      </c>
      <c r="C574" s="15">
        <v>702.849976</v>
      </c>
      <c r="D574" s="15">
        <v>694.0</v>
      </c>
      <c r="E574" s="15">
        <v>695.650024</v>
      </c>
      <c r="F574" s="15">
        <v>693.091187</v>
      </c>
      <c r="G574" s="15">
        <v>1614958.0</v>
      </c>
      <c r="H574" s="19">
        <f t="shared" si="1"/>
        <v>-0.001076967223</v>
      </c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8">
        <v>45187.0</v>
      </c>
      <c r="B575" s="15">
        <v>696.049988</v>
      </c>
      <c r="C575" s="15">
        <v>697.849976</v>
      </c>
      <c r="D575" s="15">
        <v>688.0</v>
      </c>
      <c r="E575" s="15">
        <v>689.349976</v>
      </c>
      <c r="F575" s="15">
        <v>686.81427</v>
      </c>
      <c r="G575" s="15">
        <v>1032981.0</v>
      </c>
      <c r="H575" s="19">
        <f t="shared" si="1"/>
        <v>-0.009056346989</v>
      </c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8">
        <v>45189.0</v>
      </c>
      <c r="B576" s="15">
        <v>688.25</v>
      </c>
      <c r="C576" s="15">
        <v>688.650024</v>
      </c>
      <c r="D576" s="15">
        <v>675.549988</v>
      </c>
      <c r="E576" s="15">
        <v>678.549988</v>
      </c>
      <c r="F576" s="15">
        <v>676.054016</v>
      </c>
      <c r="G576" s="15">
        <v>1353493.0</v>
      </c>
      <c r="H576" s="19">
        <f t="shared" si="1"/>
        <v>-0.01566691576</v>
      </c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8">
        <v>45190.0</v>
      </c>
      <c r="B577" s="15">
        <v>677.900024</v>
      </c>
      <c r="C577" s="15">
        <v>683.450012</v>
      </c>
      <c r="D577" s="15">
        <v>668.0</v>
      </c>
      <c r="E577" s="15">
        <v>671.299988</v>
      </c>
      <c r="F577" s="15">
        <v>668.830688</v>
      </c>
      <c r="G577" s="15">
        <v>1346593.0</v>
      </c>
      <c r="H577" s="19">
        <f t="shared" si="1"/>
        <v>-0.01068454812</v>
      </c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8">
        <v>45191.0</v>
      </c>
      <c r="B578" s="15">
        <v>673.0</v>
      </c>
      <c r="C578" s="15">
        <v>675.400024</v>
      </c>
      <c r="D578" s="15">
        <v>661.0</v>
      </c>
      <c r="E578" s="15">
        <v>663.349976</v>
      </c>
      <c r="F578" s="15">
        <v>660.909912</v>
      </c>
      <c r="G578" s="15">
        <v>1386201.0</v>
      </c>
      <c r="H578" s="19">
        <f t="shared" si="1"/>
        <v>-0.01184271137</v>
      </c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8">
        <v>45194.0</v>
      </c>
      <c r="B579" s="15">
        <v>667.0</v>
      </c>
      <c r="C579" s="15">
        <v>692.200012</v>
      </c>
      <c r="D579" s="15">
        <v>667.0</v>
      </c>
      <c r="E579" s="15">
        <v>689.200012</v>
      </c>
      <c r="F579" s="15">
        <v>686.664856</v>
      </c>
      <c r="G579" s="15">
        <v>4487685.0</v>
      </c>
      <c r="H579" s="19">
        <f t="shared" si="1"/>
        <v>0.03896892581</v>
      </c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8">
        <v>45195.0</v>
      </c>
      <c r="B580" s="15">
        <v>689.200012</v>
      </c>
      <c r="C580" s="15">
        <v>691.5</v>
      </c>
      <c r="D580" s="15">
        <v>680.049988</v>
      </c>
      <c r="E580" s="15">
        <v>681.549988</v>
      </c>
      <c r="F580" s="15">
        <v>679.042969</v>
      </c>
      <c r="G580" s="15">
        <v>1055108.0</v>
      </c>
      <c r="H580" s="19">
        <f t="shared" si="1"/>
        <v>-0.01109986051</v>
      </c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8">
        <v>45196.0</v>
      </c>
      <c r="B581" s="15">
        <v>681.549988</v>
      </c>
      <c r="C581" s="15">
        <v>686.5</v>
      </c>
      <c r="D581" s="15">
        <v>674.099976</v>
      </c>
      <c r="E581" s="15">
        <v>682.0</v>
      </c>
      <c r="F581" s="15">
        <v>679.491333</v>
      </c>
      <c r="G581" s="15">
        <v>1155826.0</v>
      </c>
      <c r="H581" s="19">
        <f t="shared" si="1"/>
        <v>0.0006602773207</v>
      </c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8">
        <v>45197.0</v>
      </c>
      <c r="B582" s="15">
        <v>683.700012</v>
      </c>
      <c r="C582" s="15">
        <v>688.400024</v>
      </c>
      <c r="D582" s="15">
        <v>670.0</v>
      </c>
      <c r="E582" s="15">
        <v>672.099976</v>
      </c>
      <c r="F582" s="15">
        <v>669.627747</v>
      </c>
      <c r="G582" s="15">
        <v>1109275.0</v>
      </c>
      <c r="H582" s="19">
        <f t="shared" si="1"/>
        <v>-0.01451616422</v>
      </c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8">
        <v>45198.0</v>
      </c>
      <c r="B583" s="15">
        <v>676.099976</v>
      </c>
      <c r="C583" s="15">
        <v>683.349976</v>
      </c>
      <c r="D583" s="15">
        <v>673.799988</v>
      </c>
      <c r="E583" s="15">
        <v>680.849976</v>
      </c>
      <c r="F583" s="15">
        <v>678.34552</v>
      </c>
      <c r="G583" s="15">
        <v>846290.0</v>
      </c>
      <c r="H583" s="19">
        <f t="shared" si="1"/>
        <v>0.01301889646</v>
      </c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8">
        <v>45202.0</v>
      </c>
      <c r="B584" s="15">
        <v>680.650024</v>
      </c>
      <c r="C584" s="15">
        <v>707.400024</v>
      </c>
      <c r="D584" s="15">
        <v>676.799988</v>
      </c>
      <c r="E584" s="15">
        <v>703.549988</v>
      </c>
      <c r="F584" s="15">
        <v>700.962036</v>
      </c>
      <c r="G584" s="15">
        <v>3635424.0</v>
      </c>
      <c r="H584" s="19">
        <f t="shared" si="1"/>
        <v>0.0333406959</v>
      </c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8">
        <v>45203.0</v>
      </c>
      <c r="B585" s="15">
        <v>699.950012</v>
      </c>
      <c r="C585" s="15">
        <v>709.450012</v>
      </c>
      <c r="D585" s="15">
        <v>697.150024</v>
      </c>
      <c r="E585" s="15">
        <v>704.049988</v>
      </c>
      <c r="F585" s="15">
        <v>701.460205</v>
      </c>
      <c r="G585" s="15">
        <v>2562621.0</v>
      </c>
      <c r="H585" s="19">
        <f t="shared" si="1"/>
        <v>0.0007106815557</v>
      </c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8">
        <v>45204.0</v>
      </c>
      <c r="B586" s="15">
        <v>706.0</v>
      </c>
      <c r="C586" s="15">
        <v>726.5</v>
      </c>
      <c r="D586" s="15">
        <v>705.650024</v>
      </c>
      <c r="E586" s="15">
        <v>719.450012</v>
      </c>
      <c r="F586" s="15">
        <v>716.803589</v>
      </c>
      <c r="G586" s="15">
        <v>5547419.0</v>
      </c>
      <c r="H586" s="19">
        <f t="shared" si="1"/>
        <v>0.02187348095</v>
      </c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8">
        <v>45205.0</v>
      </c>
      <c r="B587" s="15">
        <v>721.950012</v>
      </c>
      <c r="C587" s="15">
        <v>722.650024</v>
      </c>
      <c r="D587" s="15">
        <v>714.0</v>
      </c>
      <c r="E587" s="15">
        <v>719.799988</v>
      </c>
      <c r="F587" s="15">
        <v>717.152283</v>
      </c>
      <c r="G587" s="15">
        <v>1644795.0</v>
      </c>
      <c r="H587" s="19">
        <f t="shared" si="1"/>
        <v>0.0004864493629</v>
      </c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8">
        <v>45208.0</v>
      </c>
      <c r="B588" s="15">
        <v>709.0</v>
      </c>
      <c r="C588" s="15">
        <v>710.0</v>
      </c>
      <c r="D588" s="15">
        <v>698.25</v>
      </c>
      <c r="E588" s="15">
        <v>702.849976</v>
      </c>
      <c r="F588" s="15">
        <v>700.264648</v>
      </c>
      <c r="G588" s="15">
        <v>1760290.0</v>
      </c>
      <c r="H588" s="19">
        <f t="shared" si="1"/>
        <v>-0.0235482249</v>
      </c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8">
        <v>45209.0</v>
      </c>
      <c r="B589" s="15">
        <v>704.0</v>
      </c>
      <c r="C589" s="15">
        <v>711.599976</v>
      </c>
      <c r="D589" s="15">
        <v>703.0</v>
      </c>
      <c r="E589" s="15">
        <v>705.700012</v>
      </c>
      <c r="F589" s="15">
        <v>703.104187</v>
      </c>
      <c r="G589" s="15">
        <v>1371262.0</v>
      </c>
      <c r="H589" s="19">
        <f t="shared" si="1"/>
        <v>0.004054970616</v>
      </c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8">
        <v>45210.0</v>
      </c>
      <c r="B590" s="15">
        <v>710.0</v>
      </c>
      <c r="C590" s="15">
        <v>711.799988</v>
      </c>
      <c r="D590" s="15">
        <v>703.450012</v>
      </c>
      <c r="E590" s="15">
        <v>704.599976</v>
      </c>
      <c r="F590" s="15">
        <v>702.008179</v>
      </c>
      <c r="G590" s="15">
        <v>946589.0</v>
      </c>
      <c r="H590" s="19">
        <f t="shared" si="1"/>
        <v>-0.001558786993</v>
      </c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8">
        <v>45211.0</v>
      </c>
      <c r="B591" s="15">
        <v>705.0</v>
      </c>
      <c r="C591" s="15">
        <v>707.700012</v>
      </c>
      <c r="D591" s="15">
        <v>698.549988</v>
      </c>
      <c r="E591" s="15">
        <v>700.25</v>
      </c>
      <c r="F591" s="15">
        <v>697.674194</v>
      </c>
      <c r="G591" s="15">
        <v>1230285.0</v>
      </c>
      <c r="H591" s="19">
        <f t="shared" si="1"/>
        <v>-0.006173681732</v>
      </c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8">
        <v>45212.0</v>
      </c>
      <c r="B592" s="15">
        <v>698.25</v>
      </c>
      <c r="C592" s="15">
        <v>706.5</v>
      </c>
      <c r="D592" s="15">
        <v>693.200012</v>
      </c>
      <c r="E592" s="15">
        <v>704.150024</v>
      </c>
      <c r="F592" s="15">
        <v>701.559875</v>
      </c>
      <c r="G592" s="15">
        <v>1018087.0</v>
      </c>
      <c r="H592" s="19">
        <f t="shared" si="1"/>
        <v>0.005569473759</v>
      </c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8">
        <v>45215.0</v>
      </c>
      <c r="B593" s="15">
        <v>705.0</v>
      </c>
      <c r="C593" s="15">
        <v>709.049988</v>
      </c>
      <c r="D593" s="15">
        <v>701.25</v>
      </c>
      <c r="E593" s="15">
        <v>703.349976</v>
      </c>
      <c r="F593" s="15">
        <v>700.762756</v>
      </c>
      <c r="G593" s="15">
        <v>799567.0</v>
      </c>
      <c r="H593" s="19">
        <f t="shared" si="1"/>
        <v>-0.001136189694</v>
      </c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8">
        <v>45216.0</v>
      </c>
      <c r="B594" s="15">
        <v>703.799988</v>
      </c>
      <c r="C594" s="15">
        <v>719.400024</v>
      </c>
      <c r="D594" s="15">
        <v>703.049988</v>
      </c>
      <c r="E594" s="15">
        <v>714.599976</v>
      </c>
      <c r="F594" s="15">
        <v>711.971375</v>
      </c>
      <c r="G594" s="15">
        <v>2163042.0</v>
      </c>
      <c r="H594" s="19">
        <f t="shared" si="1"/>
        <v>0.01599488218</v>
      </c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8">
        <v>45217.0</v>
      </c>
      <c r="B595" s="15">
        <v>718.349976</v>
      </c>
      <c r="C595" s="15">
        <v>718.5</v>
      </c>
      <c r="D595" s="15">
        <v>699.099976</v>
      </c>
      <c r="E595" s="15">
        <v>703.849976</v>
      </c>
      <c r="F595" s="15">
        <v>701.260925</v>
      </c>
      <c r="G595" s="15">
        <v>1690083.0</v>
      </c>
      <c r="H595" s="19">
        <f t="shared" si="1"/>
        <v>-0.01504338142</v>
      </c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8">
        <v>45218.0</v>
      </c>
      <c r="B596" s="15">
        <v>701.400024</v>
      </c>
      <c r="C596" s="15">
        <v>704.75</v>
      </c>
      <c r="D596" s="15">
        <v>690.299988</v>
      </c>
      <c r="E596" s="15">
        <v>699.650024</v>
      </c>
      <c r="F596" s="15">
        <v>697.076416</v>
      </c>
      <c r="G596" s="15">
        <v>1100204.0</v>
      </c>
      <c r="H596" s="19">
        <f t="shared" si="1"/>
        <v>-0.005967112514</v>
      </c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8">
        <v>45219.0</v>
      </c>
      <c r="B597" s="15">
        <v>700.0</v>
      </c>
      <c r="C597" s="15">
        <v>703.5</v>
      </c>
      <c r="D597" s="15">
        <v>690.0</v>
      </c>
      <c r="E597" s="15">
        <v>692.099976</v>
      </c>
      <c r="F597" s="15">
        <v>689.554138</v>
      </c>
      <c r="G597" s="15">
        <v>1232956.0</v>
      </c>
      <c r="H597" s="19">
        <f t="shared" si="1"/>
        <v>-0.01079117808</v>
      </c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8">
        <v>45222.0</v>
      </c>
      <c r="B598" s="15">
        <v>692.650024</v>
      </c>
      <c r="C598" s="15">
        <v>692.650024</v>
      </c>
      <c r="D598" s="15">
        <v>663.0</v>
      </c>
      <c r="E598" s="15">
        <v>666.200012</v>
      </c>
      <c r="F598" s="15">
        <v>663.749451</v>
      </c>
      <c r="G598" s="15">
        <v>1717013.0</v>
      </c>
      <c r="H598" s="19">
        <f t="shared" si="1"/>
        <v>-0.03742228709</v>
      </c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8">
        <v>45224.0</v>
      </c>
      <c r="B599" s="15">
        <v>667.25</v>
      </c>
      <c r="C599" s="15">
        <v>673.0</v>
      </c>
      <c r="D599" s="15">
        <v>651.099976</v>
      </c>
      <c r="E599" s="15">
        <v>658.049988</v>
      </c>
      <c r="F599" s="15">
        <v>655.629456</v>
      </c>
      <c r="G599" s="15">
        <v>1305923.0</v>
      </c>
      <c r="H599" s="19">
        <f t="shared" si="1"/>
        <v>-0.0122335993</v>
      </c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8">
        <v>45225.0</v>
      </c>
      <c r="B600" s="15">
        <v>656.400024</v>
      </c>
      <c r="C600" s="15">
        <v>656.400024</v>
      </c>
      <c r="D600" s="15">
        <v>635.549988</v>
      </c>
      <c r="E600" s="15">
        <v>645.049988</v>
      </c>
      <c r="F600" s="15">
        <v>642.677246</v>
      </c>
      <c r="G600" s="15">
        <v>1821947.0</v>
      </c>
      <c r="H600" s="19">
        <f t="shared" si="1"/>
        <v>-0.0197553381</v>
      </c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8">
        <v>45226.0</v>
      </c>
      <c r="B601" s="15">
        <v>649.900024</v>
      </c>
      <c r="C601" s="15">
        <v>661.599976</v>
      </c>
      <c r="D601" s="15">
        <v>648.400024</v>
      </c>
      <c r="E601" s="15">
        <v>659.349976</v>
      </c>
      <c r="F601" s="15">
        <v>656.924622</v>
      </c>
      <c r="G601" s="15">
        <v>1056784.0</v>
      </c>
      <c r="H601" s="19">
        <f t="shared" si="1"/>
        <v>0.02216880593</v>
      </c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8">
        <v>45229.0</v>
      </c>
      <c r="B602" s="15">
        <v>661.700012</v>
      </c>
      <c r="C602" s="15">
        <v>665.799988</v>
      </c>
      <c r="D602" s="15">
        <v>652.5</v>
      </c>
      <c r="E602" s="15">
        <v>663.299988</v>
      </c>
      <c r="F602" s="15">
        <v>660.860107</v>
      </c>
      <c r="G602" s="15">
        <v>988891.0</v>
      </c>
      <c r="H602" s="19">
        <f t="shared" si="1"/>
        <v>0.005990766882</v>
      </c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8">
        <v>45230.0</v>
      </c>
      <c r="B603" s="15">
        <v>664.75</v>
      </c>
      <c r="C603" s="15">
        <v>668.900024</v>
      </c>
      <c r="D603" s="15">
        <v>662.950012</v>
      </c>
      <c r="E603" s="15">
        <v>665.349976</v>
      </c>
      <c r="F603" s="15">
        <v>662.902588</v>
      </c>
      <c r="G603" s="15">
        <v>603228.0</v>
      </c>
      <c r="H603" s="19">
        <f t="shared" si="1"/>
        <v>0.003090589533</v>
      </c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8">
        <v>45231.0</v>
      </c>
      <c r="B604" s="15">
        <v>666.049988</v>
      </c>
      <c r="C604" s="15">
        <v>670.0</v>
      </c>
      <c r="D604" s="15">
        <v>652.0</v>
      </c>
      <c r="E604" s="15">
        <v>652.849976</v>
      </c>
      <c r="F604" s="15">
        <v>650.448547</v>
      </c>
      <c r="G604" s="15">
        <v>840037.0</v>
      </c>
      <c r="H604" s="19">
        <f t="shared" si="1"/>
        <v>-0.01878710521</v>
      </c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8">
        <v>45232.0</v>
      </c>
      <c r="B605" s="15">
        <v>657.950012</v>
      </c>
      <c r="C605" s="15">
        <v>663.549988</v>
      </c>
      <c r="D605" s="15">
        <v>649.700012</v>
      </c>
      <c r="E605" s="15">
        <v>655.299988</v>
      </c>
      <c r="F605" s="15">
        <v>652.889526</v>
      </c>
      <c r="G605" s="15">
        <v>1442254.0</v>
      </c>
      <c r="H605" s="19">
        <f t="shared" si="1"/>
        <v>0.003752794807</v>
      </c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8">
        <v>45233.0</v>
      </c>
      <c r="B606" s="15">
        <v>660.0</v>
      </c>
      <c r="C606" s="15">
        <v>666.099976</v>
      </c>
      <c r="D606" s="15">
        <v>658.049988</v>
      </c>
      <c r="E606" s="15">
        <v>663.599976</v>
      </c>
      <c r="F606" s="15">
        <v>661.158997</v>
      </c>
      <c r="G606" s="15">
        <v>763012.0</v>
      </c>
      <c r="H606" s="19">
        <f t="shared" si="1"/>
        <v>0.01266593644</v>
      </c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8">
        <v>45236.0</v>
      </c>
      <c r="B607" s="15">
        <v>670.5</v>
      </c>
      <c r="C607" s="15">
        <v>674.150024</v>
      </c>
      <c r="D607" s="15">
        <v>666.400024</v>
      </c>
      <c r="E607" s="15">
        <v>671.5</v>
      </c>
      <c r="F607" s="15">
        <v>669.029968</v>
      </c>
      <c r="G607" s="15">
        <v>734713.0</v>
      </c>
      <c r="H607" s="19">
        <f t="shared" si="1"/>
        <v>0.0119047985</v>
      </c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8">
        <v>45237.0</v>
      </c>
      <c r="B608" s="15">
        <v>673.950012</v>
      </c>
      <c r="C608" s="15">
        <v>683.299988</v>
      </c>
      <c r="D608" s="15">
        <v>670.0</v>
      </c>
      <c r="E608" s="15">
        <v>681.099976</v>
      </c>
      <c r="F608" s="15">
        <v>678.594604</v>
      </c>
      <c r="G608" s="15">
        <v>1366389.0</v>
      </c>
      <c r="H608" s="19">
        <f t="shared" si="1"/>
        <v>0.01429631571</v>
      </c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8">
        <v>45238.0</v>
      </c>
      <c r="B609" s="15">
        <v>690.0</v>
      </c>
      <c r="C609" s="15">
        <v>690.0</v>
      </c>
      <c r="D609" s="15">
        <v>671.549988</v>
      </c>
      <c r="E609" s="15">
        <v>676.900024</v>
      </c>
      <c r="F609" s="15">
        <v>674.410156</v>
      </c>
      <c r="G609" s="15">
        <v>2294522.0</v>
      </c>
      <c r="H609" s="19">
        <f t="shared" si="1"/>
        <v>-0.006166425118</v>
      </c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8">
        <v>45239.0</v>
      </c>
      <c r="B610" s="15">
        <v>679.0</v>
      </c>
      <c r="C610" s="15">
        <v>679.900024</v>
      </c>
      <c r="D610" s="15">
        <v>664.400024</v>
      </c>
      <c r="E610" s="15">
        <v>670.549988</v>
      </c>
      <c r="F610" s="15">
        <v>668.083435</v>
      </c>
      <c r="G610" s="15">
        <v>1785791.0</v>
      </c>
      <c r="H610" s="19">
        <f t="shared" si="1"/>
        <v>-0.009381054476</v>
      </c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8">
        <v>45240.0</v>
      </c>
      <c r="B611" s="15">
        <v>669.900024</v>
      </c>
      <c r="C611" s="15">
        <v>676.099976</v>
      </c>
      <c r="D611" s="15">
        <v>665.799988</v>
      </c>
      <c r="E611" s="15">
        <v>672.450012</v>
      </c>
      <c r="F611" s="15">
        <v>669.976501</v>
      </c>
      <c r="G611" s="15">
        <v>711757.0</v>
      </c>
      <c r="H611" s="19">
        <f t="shared" si="1"/>
        <v>0.002833530734</v>
      </c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8">
        <v>45243.0</v>
      </c>
      <c r="B612" s="15">
        <v>677.0</v>
      </c>
      <c r="C612" s="15">
        <v>677.0</v>
      </c>
      <c r="D612" s="15">
        <v>669.049988</v>
      </c>
      <c r="E612" s="15">
        <v>671.0</v>
      </c>
      <c r="F612" s="15">
        <v>668.531799</v>
      </c>
      <c r="G612" s="15">
        <v>517232.0</v>
      </c>
      <c r="H612" s="19">
        <f t="shared" si="1"/>
        <v>-0.002156311955</v>
      </c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8">
        <v>45245.0</v>
      </c>
      <c r="B613" s="15">
        <v>677.700012</v>
      </c>
      <c r="C613" s="15">
        <v>678.950012</v>
      </c>
      <c r="D613" s="15">
        <v>674.0</v>
      </c>
      <c r="E613" s="15">
        <v>677.349976</v>
      </c>
      <c r="F613" s="15">
        <v>674.858398</v>
      </c>
      <c r="G613" s="15">
        <v>736475.0</v>
      </c>
      <c r="H613" s="19">
        <f t="shared" si="1"/>
        <v>0.009463451565</v>
      </c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8">
        <v>45246.0</v>
      </c>
      <c r="B614" s="15">
        <v>677.0</v>
      </c>
      <c r="C614" s="15">
        <v>683.900024</v>
      </c>
      <c r="D614" s="15">
        <v>675.700012</v>
      </c>
      <c r="E614" s="15">
        <v>679.650024</v>
      </c>
      <c r="F614" s="15">
        <v>677.150024</v>
      </c>
      <c r="G614" s="15">
        <v>1042850.0</v>
      </c>
      <c r="H614" s="19">
        <f t="shared" si="1"/>
        <v>0.003395656723</v>
      </c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8">
        <v>45247.0</v>
      </c>
      <c r="B615" s="15">
        <v>679.650024</v>
      </c>
      <c r="C615" s="15">
        <v>711.5</v>
      </c>
      <c r="D615" s="15">
        <v>677.200012</v>
      </c>
      <c r="E615" s="15">
        <v>707.349976</v>
      </c>
      <c r="F615" s="15">
        <v>707.349976</v>
      </c>
      <c r="G615" s="15">
        <v>4894657.0</v>
      </c>
      <c r="H615" s="19">
        <f t="shared" si="1"/>
        <v>0.04075619955</v>
      </c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8">
        <v>45250.0</v>
      </c>
      <c r="B616" s="15">
        <v>709.900024</v>
      </c>
      <c r="C616" s="15">
        <v>712.0</v>
      </c>
      <c r="D616" s="15">
        <v>694.75</v>
      </c>
      <c r="E616" s="15">
        <v>701.299988</v>
      </c>
      <c r="F616" s="15">
        <v>701.299988</v>
      </c>
      <c r="G616" s="15">
        <v>1714181.0</v>
      </c>
      <c r="H616" s="19">
        <f t="shared" si="1"/>
        <v>-0.008553033442</v>
      </c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8">
        <v>45251.0</v>
      </c>
      <c r="B617" s="15">
        <v>705.299988</v>
      </c>
      <c r="C617" s="15">
        <v>719.900024</v>
      </c>
      <c r="D617" s="15">
        <v>703.5</v>
      </c>
      <c r="E617" s="15">
        <v>708.950012</v>
      </c>
      <c r="F617" s="15">
        <v>708.950012</v>
      </c>
      <c r="G617" s="15">
        <v>4324116.0</v>
      </c>
      <c r="H617" s="19">
        <f t="shared" si="1"/>
        <v>0.01090834754</v>
      </c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8">
        <v>45252.0</v>
      </c>
      <c r="B618" s="15">
        <v>709.0</v>
      </c>
      <c r="C618" s="15">
        <v>711.799988</v>
      </c>
      <c r="D618" s="15">
        <v>693.049988</v>
      </c>
      <c r="E618" s="15">
        <v>700.0</v>
      </c>
      <c r="F618" s="15">
        <v>700.0</v>
      </c>
      <c r="G618" s="15">
        <v>1440191.0</v>
      </c>
      <c r="H618" s="19">
        <f t="shared" si="1"/>
        <v>-0.01262432026</v>
      </c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8">
        <v>45253.0</v>
      </c>
      <c r="B619" s="15">
        <v>704.0</v>
      </c>
      <c r="C619" s="15">
        <v>706.450012</v>
      </c>
      <c r="D619" s="15">
        <v>699.0</v>
      </c>
      <c r="E619" s="15">
        <v>700.0</v>
      </c>
      <c r="F619" s="15">
        <v>700.0</v>
      </c>
      <c r="G619" s="15">
        <v>1285720.0</v>
      </c>
      <c r="H619" s="19">
        <f t="shared" si="1"/>
        <v>0</v>
      </c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8">
        <v>45254.0</v>
      </c>
      <c r="B620" s="15">
        <v>703.0</v>
      </c>
      <c r="C620" s="15">
        <v>704.400024</v>
      </c>
      <c r="D620" s="15">
        <v>691.599976</v>
      </c>
      <c r="E620" s="15">
        <v>692.799988</v>
      </c>
      <c r="F620" s="15">
        <v>692.799988</v>
      </c>
      <c r="G620" s="15">
        <v>896138.0</v>
      </c>
      <c r="H620" s="19">
        <f t="shared" si="1"/>
        <v>-0.01028573143</v>
      </c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8">
        <v>45258.0</v>
      </c>
      <c r="B621" s="15">
        <v>697.200012</v>
      </c>
      <c r="C621" s="15">
        <v>699.200012</v>
      </c>
      <c r="D621" s="15">
        <v>692.799988</v>
      </c>
      <c r="E621" s="15">
        <v>696.799988</v>
      </c>
      <c r="F621" s="15">
        <v>696.799988</v>
      </c>
      <c r="G621" s="15">
        <v>877968.0</v>
      </c>
      <c r="H621" s="19">
        <f t="shared" si="1"/>
        <v>0.005773672155</v>
      </c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8">
        <v>45259.0</v>
      </c>
      <c r="B622" s="15">
        <v>696.799988</v>
      </c>
      <c r="C622" s="15">
        <v>709.5</v>
      </c>
      <c r="D622" s="15">
        <v>696.799988</v>
      </c>
      <c r="E622" s="15">
        <v>700.5</v>
      </c>
      <c r="F622" s="15">
        <v>700.5</v>
      </c>
      <c r="G622" s="15">
        <v>1575534.0</v>
      </c>
      <c r="H622" s="19">
        <f t="shared" si="1"/>
        <v>0.005310005832</v>
      </c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8">
        <v>45260.0</v>
      </c>
      <c r="B623" s="15">
        <v>700.0</v>
      </c>
      <c r="C623" s="15">
        <v>710.0</v>
      </c>
      <c r="D623" s="15">
        <v>700.0</v>
      </c>
      <c r="E623" s="15">
        <v>705.75</v>
      </c>
      <c r="F623" s="15">
        <v>705.75</v>
      </c>
      <c r="G623" s="15">
        <v>2128035.0</v>
      </c>
      <c r="H623" s="19">
        <f t="shared" si="1"/>
        <v>0.007494646681</v>
      </c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8">
        <v>45261.0</v>
      </c>
      <c r="B624" s="15">
        <v>710.0</v>
      </c>
      <c r="C624" s="15">
        <v>710.0</v>
      </c>
      <c r="D624" s="15">
        <v>700.0</v>
      </c>
      <c r="E624" s="15">
        <v>701.299988</v>
      </c>
      <c r="F624" s="15">
        <v>701.299988</v>
      </c>
      <c r="G624" s="15">
        <v>1060638.0</v>
      </c>
      <c r="H624" s="19">
        <f t="shared" si="1"/>
        <v>-0.006305365923</v>
      </c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8">
        <v>45264.0</v>
      </c>
      <c r="B625" s="15">
        <v>708.0</v>
      </c>
      <c r="C625" s="15">
        <v>724.0</v>
      </c>
      <c r="D625" s="15">
        <v>706.0</v>
      </c>
      <c r="E625" s="15">
        <v>720.849976</v>
      </c>
      <c r="F625" s="15">
        <v>720.849976</v>
      </c>
      <c r="G625" s="15">
        <v>4528427.0</v>
      </c>
      <c r="H625" s="19">
        <f t="shared" si="1"/>
        <v>0.02787678359</v>
      </c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8">
        <v>45265.0</v>
      </c>
      <c r="B626" s="15">
        <v>724.75</v>
      </c>
      <c r="C626" s="15">
        <v>728.950012</v>
      </c>
      <c r="D626" s="15">
        <v>709.049988</v>
      </c>
      <c r="E626" s="15">
        <v>715.099976</v>
      </c>
      <c r="F626" s="15">
        <v>715.099976</v>
      </c>
      <c r="G626" s="15">
        <v>2826160.0</v>
      </c>
      <c r="H626" s="19">
        <f t="shared" si="1"/>
        <v>-0.007976694446</v>
      </c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8">
        <v>45266.0</v>
      </c>
      <c r="B627" s="15">
        <v>719.400024</v>
      </c>
      <c r="C627" s="15">
        <v>749.900024</v>
      </c>
      <c r="D627" s="15">
        <v>716.599976</v>
      </c>
      <c r="E627" s="15">
        <v>740.5</v>
      </c>
      <c r="F627" s="15">
        <v>740.5</v>
      </c>
      <c r="G627" s="15">
        <v>1.0164743E7</v>
      </c>
      <c r="H627" s="19">
        <f t="shared" si="1"/>
        <v>0.03551954251</v>
      </c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8">
        <v>45267.0</v>
      </c>
      <c r="B628" s="15">
        <v>742.75</v>
      </c>
      <c r="C628" s="15">
        <v>762.25</v>
      </c>
      <c r="D628" s="15">
        <v>732.0</v>
      </c>
      <c r="E628" s="15">
        <v>757.799988</v>
      </c>
      <c r="F628" s="15">
        <v>757.799988</v>
      </c>
      <c r="G628" s="15">
        <v>7412553.0</v>
      </c>
      <c r="H628" s="19">
        <f t="shared" si="1"/>
        <v>0.02336257664</v>
      </c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8">
        <v>45268.0</v>
      </c>
      <c r="B629" s="15">
        <v>762.450012</v>
      </c>
      <c r="C629" s="15">
        <v>769.849976</v>
      </c>
      <c r="D629" s="15">
        <v>739.200012</v>
      </c>
      <c r="E629" s="15">
        <v>749.549988</v>
      </c>
      <c r="F629" s="15">
        <v>749.549988</v>
      </c>
      <c r="G629" s="15">
        <v>4842223.0</v>
      </c>
      <c r="H629" s="19">
        <f t="shared" si="1"/>
        <v>-0.01088677769</v>
      </c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8">
        <v>45271.0</v>
      </c>
      <c r="B630" s="15">
        <v>750.950012</v>
      </c>
      <c r="C630" s="15">
        <v>766.549988</v>
      </c>
      <c r="D630" s="15">
        <v>750.0</v>
      </c>
      <c r="E630" s="15">
        <v>762.099976</v>
      </c>
      <c r="F630" s="15">
        <v>762.099976</v>
      </c>
      <c r="G630" s="15">
        <v>3619579.0</v>
      </c>
      <c r="H630" s="19">
        <f t="shared" si="1"/>
        <v>0.01674336362</v>
      </c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8">
        <v>45272.0</v>
      </c>
      <c r="B631" s="15">
        <v>766.400024</v>
      </c>
      <c r="C631" s="15">
        <v>786.400024</v>
      </c>
      <c r="D631" s="15">
        <v>763.349976</v>
      </c>
      <c r="E631" s="15">
        <v>770.599976</v>
      </c>
      <c r="F631" s="15">
        <v>770.599976</v>
      </c>
      <c r="G631" s="15">
        <v>7248708.0</v>
      </c>
      <c r="H631" s="19">
        <f t="shared" si="1"/>
        <v>0.01115339229</v>
      </c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8">
        <v>45273.0</v>
      </c>
      <c r="B632" s="15">
        <v>774.400024</v>
      </c>
      <c r="C632" s="15">
        <v>781.549988</v>
      </c>
      <c r="D632" s="15">
        <v>763.799988</v>
      </c>
      <c r="E632" s="15">
        <v>777.950012</v>
      </c>
      <c r="F632" s="15">
        <v>777.950012</v>
      </c>
      <c r="G632" s="15">
        <v>2986173.0</v>
      </c>
      <c r="H632" s="19">
        <f t="shared" si="1"/>
        <v>0.009538069334</v>
      </c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8">
        <v>45274.0</v>
      </c>
      <c r="B633" s="15">
        <v>799.950012</v>
      </c>
      <c r="C633" s="15">
        <v>799.950012</v>
      </c>
      <c r="D633" s="15">
        <v>785.5</v>
      </c>
      <c r="E633" s="15">
        <v>791.049988</v>
      </c>
      <c r="F633" s="15">
        <v>791.049988</v>
      </c>
      <c r="G633" s="15">
        <v>5071262.0</v>
      </c>
      <c r="H633" s="19">
        <f t="shared" si="1"/>
        <v>0.01683909737</v>
      </c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8">
        <v>45275.0</v>
      </c>
      <c r="B634" s="15">
        <v>797.0</v>
      </c>
      <c r="C634" s="15">
        <v>797.0</v>
      </c>
      <c r="D634" s="15">
        <v>778.650024</v>
      </c>
      <c r="E634" s="15">
        <v>780.849976</v>
      </c>
      <c r="F634" s="15">
        <v>780.849976</v>
      </c>
      <c r="G634" s="15">
        <v>2894186.0</v>
      </c>
      <c r="H634" s="19">
        <f t="shared" si="1"/>
        <v>-0.01289426984</v>
      </c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8">
        <v>45278.0</v>
      </c>
      <c r="B635" s="15">
        <v>784.849976</v>
      </c>
      <c r="C635" s="15">
        <v>889.349976</v>
      </c>
      <c r="D635" s="15">
        <v>779.099976</v>
      </c>
      <c r="E635" s="15">
        <v>879.150024</v>
      </c>
      <c r="F635" s="15">
        <v>879.150024</v>
      </c>
      <c r="G635" s="15">
        <v>3.6365109E7</v>
      </c>
      <c r="H635" s="19">
        <f t="shared" si="1"/>
        <v>0.1258885202</v>
      </c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8">
        <v>45279.0</v>
      </c>
      <c r="B636" s="15">
        <v>881.200012</v>
      </c>
      <c r="C636" s="15">
        <v>916.5</v>
      </c>
      <c r="D636" s="15">
        <v>852.200012</v>
      </c>
      <c r="E636" s="15">
        <v>882.099976</v>
      </c>
      <c r="F636" s="15">
        <v>882.099976</v>
      </c>
      <c r="G636" s="15">
        <v>3.7499776E7</v>
      </c>
      <c r="H636" s="19">
        <f t="shared" si="1"/>
        <v>0.003355459159</v>
      </c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8">
        <v>45280.0</v>
      </c>
      <c r="B637" s="15">
        <v>886.700012</v>
      </c>
      <c r="C637" s="15">
        <v>890.0</v>
      </c>
      <c r="D637" s="15">
        <v>805.25</v>
      </c>
      <c r="E637" s="15">
        <v>815.150024</v>
      </c>
      <c r="F637" s="15">
        <v>815.150024</v>
      </c>
      <c r="G637" s="15">
        <v>1.7968498E7</v>
      </c>
      <c r="H637" s="19">
        <f t="shared" si="1"/>
        <v>-0.07589837186</v>
      </c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8">
        <v>45281.0</v>
      </c>
      <c r="B638" s="15">
        <v>807.0</v>
      </c>
      <c r="C638" s="15">
        <v>874.5</v>
      </c>
      <c r="D638" s="15">
        <v>801.900024</v>
      </c>
      <c r="E638" s="15">
        <v>868.25</v>
      </c>
      <c r="F638" s="15">
        <v>868.25</v>
      </c>
      <c r="G638" s="15">
        <v>2.5159581E7</v>
      </c>
      <c r="H638" s="19">
        <f t="shared" si="1"/>
        <v>0.06514135366</v>
      </c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8">
        <v>45282.0</v>
      </c>
      <c r="B639" s="15">
        <v>875.0</v>
      </c>
      <c r="C639" s="15">
        <v>886.900024</v>
      </c>
      <c r="D639" s="15">
        <v>853.900024</v>
      </c>
      <c r="E639" s="15">
        <v>860.900024</v>
      </c>
      <c r="F639" s="15">
        <v>860.900024</v>
      </c>
      <c r="G639" s="15">
        <v>1.0046698E7</v>
      </c>
      <c r="H639" s="19">
        <f t="shared" si="1"/>
        <v>-0.00846527613</v>
      </c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8">
        <v>45286.0</v>
      </c>
      <c r="B640" s="15">
        <v>865.0</v>
      </c>
      <c r="C640" s="15">
        <v>883.900024</v>
      </c>
      <c r="D640" s="15">
        <v>859.0</v>
      </c>
      <c r="E640" s="15">
        <v>869.799988</v>
      </c>
      <c r="F640" s="15">
        <v>869.799988</v>
      </c>
      <c r="G640" s="15">
        <v>6342848.0</v>
      </c>
      <c r="H640" s="19">
        <f t="shared" si="1"/>
        <v>0.01033797625</v>
      </c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8">
        <v>45287.0</v>
      </c>
      <c r="B641" s="15">
        <v>874.799988</v>
      </c>
      <c r="C641" s="15">
        <v>884.700012</v>
      </c>
      <c r="D641" s="15">
        <v>858.950012</v>
      </c>
      <c r="E641" s="15">
        <v>867.5</v>
      </c>
      <c r="F641" s="15">
        <v>867.5</v>
      </c>
      <c r="G641" s="15">
        <v>5028695.0</v>
      </c>
      <c r="H641" s="19">
        <f t="shared" si="1"/>
        <v>-0.002644272283</v>
      </c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8">
        <v>45288.0</v>
      </c>
      <c r="B642" s="15">
        <v>873.950012</v>
      </c>
      <c r="C642" s="15">
        <v>875.0</v>
      </c>
      <c r="D642" s="15">
        <v>862.049988</v>
      </c>
      <c r="E642" s="15">
        <v>864.150024</v>
      </c>
      <c r="F642" s="15">
        <v>864.150024</v>
      </c>
      <c r="G642" s="15">
        <v>3578585.0</v>
      </c>
      <c r="H642" s="19">
        <f t="shared" si="1"/>
        <v>-0.003861643804</v>
      </c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8">
        <v>45289.0</v>
      </c>
      <c r="B643" s="15">
        <v>866.0</v>
      </c>
      <c r="C643" s="15">
        <v>895.0</v>
      </c>
      <c r="D643" s="15">
        <v>859.049988</v>
      </c>
      <c r="E643" s="15">
        <v>887.5</v>
      </c>
      <c r="F643" s="15">
        <v>887.5</v>
      </c>
      <c r="G643" s="15">
        <v>1.0705182E7</v>
      </c>
      <c r="H643" s="19">
        <f t="shared" si="1"/>
        <v>0.02702074333</v>
      </c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8">
        <v>45292.0</v>
      </c>
      <c r="B644" s="15">
        <v>892.0</v>
      </c>
      <c r="C644" s="15">
        <v>916.849976</v>
      </c>
      <c r="D644" s="15">
        <v>888.0</v>
      </c>
      <c r="E644" s="15">
        <v>891.849976</v>
      </c>
      <c r="F644" s="15">
        <v>891.849976</v>
      </c>
      <c r="G644" s="15">
        <v>9040913.0</v>
      </c>
      <c r="H644" s="19">
        <f t="shared" si="1"/>
        <v>0.004901381408</v>
      </c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8">
        <v>45293.0</v>
      </c>
      <c r="B645" s="15">
        <v>895.700012</v>
      </c>
      <c r="C645" s="15">
        <v>903.299988</v>
      </c>
      <c r="D645" s="15">
        <v>866.799988</v>
      </c>
      <c r="E645" s="15">
        <v>886.200012</v>
      </c>
      <c r="F645" s="15">
        <v>886.200012</v>
      </c>
      <c r="G645" s="15">
        <v>5242381.0</v>
      </c>
      <c r="H645" s="19">
        <f t="shared" si="1"/>
        <v>-0.00633510585</v>
      </c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8">
        <v>45294.0</v>
      </c>
      <c r="B646" s="15">
        <v>886.299988</v>
      </c>
      <c r="C646" s="15">
        <v>910.0</v>
      </c>
      <c r="D646" s="15">
        <v>886.200012</v>
      </c>
      <c r="E646" s="15">
        <v>899.25</v>
      </c>
      <c r="F646" s="15">
        <v>899.25</v>
      </c>
      <c r="G646" s="15">
        <v>6852189.0</v>
      </c>
      <c r="H646" s="19">
        <f t="shared" si="1"/>
        <v>0.01472578179</v>
      </c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8">
        <v>45295.0</v>
      </c>
      <c r="B647" s="15">
        <v>903.900024</v>
      </c>
      <c r="C647" s="15">
        <v>912.0</v>
      </c>
      <c r="D647" s="15">
        <v>895.25</v>
      </c>
      <c r="E647" s="15">
        <v>901.549988</v>
      </c>
      <c r="F647" s="15">
        <v>901.549988</v>
      </c>
      <c r="G647" s="15">
        <v>4427039.0</v>
      </c>
      <c r="H647" s="19">
        <f t="shared" si="1"/>
        <v>0.002557673617</v>
      </c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8">
        <v>45296.0</v>
      </c>
      <c r="B648" s="15">
        <v>905.0</v>
      </c>
      <c r="C648" s="15">
        <v>923.450012</v>
      </c>
      <c r="D648" s="15">
        <v>894.049988</v>
      </c>
      <c r="E648" s="15">
        <v>905.900024</v>
      </c>
      <c r="F648" s="15">
        <v>905.900024</v>
      </c>
      <c r="G648" s="15">
        <v>9811302.0</v>
      </c>
      <c r="H648" s="19">
        <f t="shared" si="1"/>
        <v>0.004825063566</v>
      </c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8">
        <v>45299.0</v>
      </c>
      <c r="B649" s="15">
        <v>914.200012</v>
      </c>
      <c r="C649" s="15">
        <v>929.0</v>
      </c>
      <c r="D649" s="15">
        <v>905.849976</v>
      </c>
      <c r="E649" s="15">
        <v>916.549988</v>
      </c>
      <c r="F649" s="15">
        <v>916.549988</v>
      </c>
      <c r="G649" s="15">
        <v>9604429.0</v>
      </c>
      <c r="H649" s="19">
        <f t="shared" si="1"/>
        <v>0.01175622444</v>
      </c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8">
        <v>45300.0</v>
      </c>
      <c r="B650" s="15">
        <v>925.0</v>
      </c>
      <c r="C650" s="15">
        <v>926.700012</v>
      </c>
      <c r="D650" s="15">
        <v>912.0</v>
      </c>
      <c r="E650" s="15">
        <v>918.799988</v>
      </c>
      <c r="F650" s="15">
        <v>918.799988</v>
      </c>
      <c r="G650" s="15">
        <v>4254653.0</v>
      </c>
      <c r="H650" s="19">
        <f t="shared" si="1"/>
        <v>0.002454857923</v>
      </c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8">
        <v>45301.0</v>
      </c>
      <c r="B651" s="15">
        <v>920.0</v>
      </c>
      <c r="C651" s="15">
        <v>944.5</v>
      </c>
      <c r="D651" s="15">
        <v>907.400024</v>
      </c>
      <c r="E651" s="15">
        <v>941.700012</v>
      </c>
      <c r="F651" s="15">
        <v>941.700012</v>
      </c>
      <c r="G651" s="15">
        <v>8474409.0</v>
      </c>
      <c r="H651" s="19">
        <f t="shared" si="1"/>
        <v>0.02492384012</v>
      </c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8">
        <v>45302.0</v>
      </c>
      <c r="B652" s="15">
        <v>949.0</v>
      </c>
      <c r="C652" s="15">
        <v>951.799988</v>
      </c>
      <c r="D652" s="15">
        <v>938.0</v>
      </c>
      <c r="E652" s="15">
        <v>940.299988</v>
      </c>
      <c r="F652" s="15">
        <v>940.299988</v>
      </c>
      <c r="G652" s="15">
        <v>6012001.0</v>
      </c>
      <c r="H652" s="19">
        <f t="shared" si="1"/>
        <v>-0.001486698505</v>
      </c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8">
        <v>45303.0</v>
      </c>
      <c r="B653" s="15">
        <v>945.599976</v>
      </c>
      <c r="C653" s="15">
        <v>962.0</v>
      </c>
      <c r="D653" s="15">
        <v>941.349976</v>
      </c>
      <c r="E653" s="15">
        <v>951.200012</v>
      </c>
      <c r="F653" s="15">
        <v>951.200012</v>
      </c>
      <c r="G653" s="15">
        <v>6044161.0</v>
      </c>
      <c r="H653" s="19">
        <f t="shared" si="1"/>
        <v>0.01159207076</v>
      </c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8">
        <v>45306.0</v>
      </c>
      <c r="B654" s="15">
        <v>961.0</v>
      </c>
      <c r="C654" s="15">
        <v>976.450012</v>
      </c>
      <c r="D654" s="15">
        <v>951.049988</v>
      </c>
      <c r="E654" s="15">
        <v>967.400024</v>
      </c>
      <c r="F654" s="15">
        <v>967.400024</v>
      </c>
      <c r="G654" s="15">
        <v>6618736.0</v>
      </c>
      <c r="H654" s="19">
        <f t="shared" si="1"/>
        <v>0.01703113099</v>
      </c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8">
        <v>45307.0</v>
      </c>
      <c r="B655" s="15">
        <v>970.0</v>
      </c>
      <c r="C655" s="15">
        <v>971.5</v>
      </c>
      <c r="D655" s="15">
        <v>935.150024</v>
      </c>
      <c r="E655" s="15">
        <v>949.650024</v>
      </c>
      <c r="F655" s="15">
        <v>949.650024</v>
      </c>
      <c r="G655" s="15">
        <v>5464749.0</v>
      </c>
      <c r="H655" s="19">
        <f t="shared" si="1"/>
        <v>-0.01834814922</v>
      </c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8">
        <v>45308.0</v>
      </c>
      <c r="B656" s="15">
        <v>944.900024</v>
      </c>
      <c r="C656" s="15">
        <v>950.5</v>
      </c>
      <c r="D656" s="15">
        <v>932.0</v>
      </c>
      <c r="E656" s="15">
        <v>934.700012</v>
      </c>
      <c r="F656" s="15">
        <v>934.700012</v>
      </c>
      <c r="G656" s="15">
        <v>3782327.0</v>
      </c>
      <c r="H656" s="19">
        <f t="shared" si="1"/>
        <v>-0.01574265426</v>
      </c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8">
        <v>45309.0</v>
      </c>
      <c r="B657" s="15">
        <v>935.099976</v>
      </c>
      <c r="C657" s="15">
        <v>944.0</v>
      </c>
      <c r="D657" s="15">
        <v>870.299988</v>
      </c>
      <c r="E657" s="15">
        <v>927.25</v>
      </c>
      <c r="F657" s="15">
        <v>927.25</v>
      </c>
      <c r="G657" s="15">
        <v>6557942.0</v>
      </c>
      <c r="H657" s="19">
        <f t="shared" si="1"/>
        <v>-0.007970484545</v>
      </c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8">
        <v>45310.0</v>
      </c>
      <c r="B658" s="15">
        <v>935.0</v>
      </c>
      <c r="C658" s="15">
        <v>988.799988</v>
      </c>
      <c r="D658" s="15">
        <v>934.049988</v>
      </c>
      <c r="E658" s="15">
        <v>983.799988</v>
      </c>
      <c r="F658" s="15">
        <v>983.799988</v>
      </c>
      <c r="G658" s="15">
        <v>1.4486659E7</v>
      </c>
      <c r="H658" s="19">
        <f t="shared" si="1"/>
        <v>0.06098677595</v>
      </c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8">
        <v>45314.0</v>
      </c>
      <c r="B659" s="15">
        <v>1045.050049</v>
      </c>
      <c r="C659" s="15">
        <v>1046.900024</v>
      </c>
      <c r="D659" s="15">
        <v>926.650024</v>
      </c>
      <c r="E659" s="15">
        <v>935.349976</v>
      </c>
      <c r="F659" s="15">
        <v>935.349976</v>
      </c>
      <c r="G659" s="15">
        <v>1.5704924E7</v>
      </c>
      <c r="H659" s="19">
        <f t="shared" si="1"/>
        <v>-0.04924782739</v>
      </c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8">
        <v>45315.0</v>
      </c>
      <c r="B660" s="15">
        <v>941.5</v>
      </c>
      <c r="C660" s="15">
        <v>977.0</v>
      </c>
      <c r="D660" s="15">
        <v>909.099976</v>
      </c>
      <c r="E660" s="15">
        <v>970.599976</v>
      </c>
      <c r="F660" s="15">
        <v>970.599976</v>
      </c>
      <c r="G660" s="15">
        <v>8909650.0</v>
      </c>
      <c r="H660" s="19">
        <f t="shared" si="1"/>
        <v>0.03768642851</v>
      </c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8">
        <v>45316.0</v>
      </c>
      <c r="B661" s="15">
        <v>975.549988</v>
      </c>
      <c r="C661" s="15">
        <v>989.950012</v>
      </c>
      <c r="D661" s="15">
        <v>959.0</v>
      </c>
      <c r="E661" s="15">
        <v>970.299988</v>
      </c>
      <c r="F661" s="15">
        <v>970.299988</v>
      </c>
      <c r="G661" s="15">
        <v>6428039.0</v>
      </c>
      <c r="H661" s="19">
        <f t="shared" si="1"/>
        <v>-0.0003090748067</v>
      </c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8">
        <v>45320.0</v>
      </c>
      <c r="B662" s="15">
        <v>983.900024</v>
      </c>
      <c r="C662" s="15">
        <v>989.900024</v>
      </c>
      <c r="D662" s="15">
        <v>972.650024</v>
      </c>
      <c r="E662" s="15">
        <v>981.799988</v>
      </c>
      <c r="F662" s="15">
        <v>981.799988</v>
      </c>
      <c r="G662" s="15">
        <v>3870322.0</v>
      </c>
      <c r="H662" s="19">
        <f t="shared" si="1"/>
        <v>0.01185200468</v>
      </c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8">
        <v>45321.0</v>
      </c>
      <c r="B663" s="15">
        <v>986.349976</v>
      </c>
      <c r="C663" s="15">
        <v>986.650024</v>
      </c>
      <c r="D663" s="15">
        <v>961.150024</v>
      </c>
      <c r="E663" s="15">
        <v>964.049988</v>
      </c>
      <c r="F663" s="15">
        <v>964.049988</v>
      </c>
      <c r="G663" s="15">
        <v>2502690.0</v>
      </c>
      <c r="H663" s="19">
        <f t="shared" si="1"/>
        <v>-0.01807903872</v>
      </c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8">
        <v>45322.0</v>
      </c>
      <c r="B664" s="15">
        <v>968.900024</v>
      </c>
      <c r="C664" s="15">
        <v>981.900024</v>
      </c>
      <c r="D664" s="15">
        <v>965.0</v>
      </c>
      <c r="E664" s="15">
        <v>977.200012</v>
      </c>
      <c r="F664" s="15">
        <v>977.200012</v>
      </c>
      <c r="G664" s="15">
        <v>2254800.0</v>
      </c>
      <c r="H664" s="19">
        <f t="shared" si="1"/>
        <v>0.01364039641</v>
      </c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8">
        <v>45323.0</v>
      </c>
      <c r="B665" s="15">
        <v>988.5</v>
      </c>
      <c r="C665" s="15">
        <v>993.5</v>
      </c>
      <c r="D665" s="15">
        <v>958.049988</v>
      </c>
      <c r="E665" s="15">
        <v>963.299988</v>
      </c>
      <c r="F665" s="15">
        <v>963.299988</v>
      </c>
      <c r="G665" s="15">
        <v>5130192.0</v>
      </c>
      <c r="H665" s="19">
        <f t="shared" si="1"/>
        <v>-0.01422433875</v>
      </c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8">
        <v>45324.0</v>
      </c>
      <c r="B666" s="15">
        <v>968.950012</v>
      </c>
      <c r="C666" s="15">
        <v>986.299988</v>
      </c>
      <c r="D666" s="15">
        <v>963.900024</v>
      </c>
      <c r="E666" s="15">
        <v>967.5</v>
      </c>
      <c r="F666" s="15">
        <v>967.5</v>
      </c>
      <c r="G666" s="15">
        <v>2803549.0</v>
      </c>
      <c r="H666" s="19">
        <f t="shared" si="1"/>
        <v>0.004360024969</v>
      </c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8">
        <v>45327.0</v>
      </c>
      <c r="B667" s="15">
        <v>971.900024</v>
      </c>
      <c r="C667" s="15">
        <v>972.799988</v>
      </c>
      <c r="D667" s="15">
        <v>941.150024</v>
      </c>
      <c r="E667" s="15">
        <v>946.650024</v>
      </c>
      <c r="F667" s="15">
        <v>946.650024</v>
      </c>
      <c r="G667" s="15">
        <v>3260389.0</v>
      </c>
      <c r="H667" s="19">
        <f t="shared" si="1"/>
        <v>-0.02155036279</v>
      </c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8">
        <v>45328.0</v>
      </c>
      <c r="B668" s="15">
        <v>950.0</v>
      </c>
      <c r="C668" s="15">
        <v>968.400024</v>
      </c>
      <c r="D668" s="15">
        <v>939.5</v>
      </c>
      <c r="E668" s="15">
        <v>965.25</v>
      </c>
      <c r="F668" s="15">
        <v>965.25</v>
      </c>
      <c r="G668" s="15">
        <v>2521842.0</v>
      </c>
      <c r="H668" s="19">
        <f t="shared" si="1"/>
        <v>0.01964820739</v>
      </c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8">
        <v>45329.0</v>
      </c>
      <c r="B669" s="15">
        <v>969.0</v>
      </c>
      <c r="C669" s="15">
        <v>972.599976</v>
      </c>
      <c r="D669" s="15">
        <v>948.299988</v>
      </c>
      <c r="E669" s="15">
        <v>954.75</v>
      </c>
      <c r="F669" s="15">
        <v>954.75</v>
      </c>
      <c r="G669" s="15">
        <v>1956892.0</v>
      </c>
      <c r="H669" s="19">
        <f t="shared" si="1"/>
        <v>-0.01087801088</v>
      </c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8">
        <v>45330.0</v>
      </c>
      <c r="B670" s="15">
        <v>957.599976</v>
      </c>
      <c r="C670" s="15">
        <v>958.549988</v>
      </c>
      <c r="D670" s="15">
        <v>941.799988</v>
      </c>
      <c r="E670" s="15">
        <v>944.349976</v>
      </c>
      <c r="F670" s="15">
        <v>944.349976</v>
      </c>
      <c r="G670" s="15">
        <v>1638646.0</v>
      </c>
      <c r="H670" s="19">
        <f t="shared" si="1"/>
        <v>-0.01089292904</v>
      </c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8">
        <v>45331.0</v>
      </c>
      <c r="B671" s="15">
        <v>949.099976</v>
      </c>
      <c r="C671" s="15">
        <v>954.400024</v>
      </c>
      <c r="D671" s="15">
        <v>916.0</v>
      </c>
      <c r="E671" s="15">
        <v>939.150024</v>
      </c>
      <c r="F671" s="15">
        <v>939.150024</v>
      </c>
      <c r="G671" s="15">
        <v>2482688.0</v>
      </c>
      <c r="H671" s="19">
        <f t="shared" si="1"/>
        <v>-0.005506382308</v>
      </c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8">
        <v>45334.0</v>
      </c>
      <c r="B672" s="15">
        <v>941.950012</v>
      </c>
      <c r="C672" s="15">
        <v>947.0</v>
      </c>
      <c r="D672" s="15">
        <v>894.0</v>
      </c>
      <c r="E672" s="15">
        <v>900.099976</v>
      </c>
      <c r="F672" s="15">
        <v>900.099976</v>
      </c>
      <c r="G672" s="15">
        <v>3029950.0</v>
      </c>
      <c r="H672" s="19">
        <f t="shared" si="1"/>
        <v>-0.04158020231</v>
      </c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8">
        <v>45335.0</v>
      </c>
      <c r="B673" s="15">
        <v>900.099976</v>
      </c>
      <c r="C673" s="15">
        <v>914.700012</v>
      </c>
      <c r="D673" s="15">
        <v>877.0</v>
      </c>
      <c r="E673" s="15">
        <v>910.450012</v>
      </c>
      <c r="F673" s="15">
        <v>910.450012</v>
      </c>
      <c r="G673" s="15">
        <v>3906213.0</v>
      </c>
      <c r="H673" s="19">
        <f t="shared" si="1"/>
        <v>0.01149876267</v>
      </c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8">
        <v>45336.0</v>
      </c>
      <c r="B674" s="15">
        <v>915.5</v>
      </c>
      <c r="C674" s="15">
        <v>934.0</v>
      </c>
      <c r="D674" s="15">
        <v>897.299988</v>
      </c>
      <c r="E674" s="15">
        <v>929.200012</v>
      </c>
      <c r="F674" s="15">
        <v>929.200012</v>
      </c>
      <c r="G674" s="15">
        <v>4480920.0</v>
      </c>
      <c r="H674" s="19">
        <f t="shared" si="1"/>
        <v>0.02059421138</v>
      </c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8">
        <v>45337.0</v>
      </c>
      <c r="B675" s="15">
        <v>938.450012</v>
      </c>
      <c r="C675" s="15">
        <v>968.0</v>
      </c>
      <c r="D675" s="15">
        <v>935.200012</v>
      </c>
      <c r="E675" s="15">
        <v>951.5</v>
      </c>
      <c r="F675" s="15">
        <v>951.5</v>
      </c>
      <c r="G675" s="15">
        <v>4532823.0</v>
      </c>
      <c r="H675" s="19">
        <f t="shared" si="1"/>
        <v>0.02399912582</v>
      </c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8">
        <v>45338.0</v>
      </c>
      <c r="B676" s="15">
        <v>957.0</v>
      </c>
      <c r="C676" s="15">
        <v>959.849976</v>
      </c>
      <c r="D676" s="15">
        <v>937.099976</v>
      </c>
      <c r="E676" s="15">
        <v>940.650024</v>
      </c>
      <c r="F676" s="15">
        <v>940.650024</v>
      </c>
      <c r="G676" s="15">
        <v>2036667.0</v>
      </c>
      <c r="H676" s="19">
        <f t="shared" si="1"/>
        <v>-0.0114030226</v>
      </c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8">
        <v>45341.0</v>
      </c>
      <c r="B677" s="15">
        <v>942.0</v>
      </c>
      <c r="C677" s="15">
        <v>956.75</v>
      </c>
      <c r="D677" s="15">
        <v>939.549988</v>
      </c>
      <c r="E677" s="15">
        <v>946.950012</v>
      </c>
      <c r="F677" s="15">
        <v>946.950012</v>
      </c>
      <c r="G677" s="15">
        <v>2063916.0</v>
      </c>
      <c r="H677" s="19">
        <f t="shared" si="1"/>
        <v>0.006697483484</v>
      </c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8">
        <v>45342.0</v>
      </c>
      <c r="B678" s="15">
        <v>947.400024</v>
      </c>
      <c r="C678" s="15">
        <v>954.900024</v>
      </c>
      <c r="D678" s="15">
        <v>944.25</v>
      </c>
      <c r="E678" s="15">
        <v>951.900024</v>
      </c>
      <c r="F678" s="15">
        <v>951.900024</v>
      </c>
      <c r="G678" s="15">
        <v>1723035.0</v>
      </c>
      <c r="H678" s="19">
        <f t="shared" si="1"/>
        <v>0.005227321334</v>
      </c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8">
        <v>45343.0</v>
      </c>
      <c r="B679" s="15">
        <v>952.650024</v>
      </c>
      <c r="C679" s="15">
        <v>959.549988</v>
      </c>
      <c r="D679" s="15">
        <v>922.099976</v>
      </c>
      <c r="E679" s="15">
        <v>925.75</v>
      </c>
      <c r="F679" s="15">
        <v>925.75</v>
      </c>
      <c r="G679" s="15">
        <v>2291737.0</v>
      </c>
      <c r="H679" s="19">
        <f t="shared" si="1"/>
        <v>-0.02747139756</v>
      </c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8">
        <v>45344.0</v>
      </c>
      <c r="B680" s="15">
        <v>928.099976</v>
      </c>
      <c r="C680" s="15">
        <v>939.25</v>
      </c>
      <c r="D680" s="15">
        <v>917.099976</v>
      </c>
      <c r="E680" s="15">
        <v>935.650024</v>
      </c>
      <c r="F680" s="15">
        <v>935.650024</v>
      </c>
      <c r="G680" s="15">
        <v>1724197.0</v>
      </c>
      <c r="H680" s="19">
        <f t="shared" si="1"/>
        <v>0.01069405779</v>
      </c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8">
        <v>45345.0</v>
      </c>
      <c r="B681" s="15">
        <v>947.299988</v>
      </c>
      <c r="C681" s="15">
        <v>971.0</v>
      </c>
      <c r="D681" s="15">
        <v>944.150024</v>
      </c>
      <c r="E681" s="15">
        <v>964.849976</v>
      </c>
      <c r="F681" s="15">
        <v>964.849976</v>
      </c>
      <c r="G681" s="15">
        <v>7709557.0</v>
      </c>
      <c r="H681" s="19">
        <f t="shared" si="1"/>
        <v>0.03120819885</v>
      </c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8">
        <v>45348.0</v>
      </c>
      <c r="B682" s="15">
        <v>966.950012</v>
      </c>
      <c r="C682" s="15">
        <v>989.900024</v>
      </c>
      <c r="D682" s="15">
        <v>964.0</v>
      </c>
      <c r="E682" s="15">
        <v>968.400024</v>
      </c>
      <c r="F682" s="15">
        <v>968.400024</v>
      </c>
      <c r="G682" s="15">
        <v>7397592.0</v>
      </c>
      <c r="H682" s="19">
        <f t="shared" si="1"/>
        <v>0.003679378233</v>
      </c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8">
        <v>45349.0</v>
      </c>
      <c r="B683" s="15">
        <v>968.900024</v>
      </c>
      <c r="C683" s="15">
        <v>974.0</v>
      </c>
      <c r="D683" s="15">
        <v>948.150024</v>
      </c>
      <c r="E683" s="15">
        <v>952.75</v>
      </c>
      <c r="F683" s="15">
        <v>952.75</v>
      </c>
      <c r="G683" s="15">
        <v>2829201.0</v>
      </c>
      <c r="H683" s="19">
        <f t="shared" si="1"/>
        <v>-0.01616070179</v>
      </c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8">
        <v>45350.0</v>
      </c>
      <c r="B684" s="15">
        <v>953.0</v>
      </c>
      <c r="C684" s="15">
        <v>959.650024</v>
      </c>
      <c r="D684" s="15">
        <v>920.0</v>
      </c>
      <c r="E684" s="15">
        <v>924.049988</v>
      </c>
      <c r="F684" s="15">
        <v>924.049988</v>
      </c>
      <c r="G684" s="15">
        <v>2972449.0</v>
      </c>
      <c r="H684" s="19">
        <f t="shared" si="1"/>
        <v>-0.03012333981</v>
      </c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8">
        <v>45351.0</v>
      </c>
      <c r="B685" s="15">
        <v>923.0</v>
      </c>
      <c r="C685" s="15">
        <v>933.950012</v>
      </c>
      <c r="D685" s="15">
        <v>912.400024</v>
      </c>
      <c r="E685" s="15">
        <v>927.400024</v>
      </c>
      <c r="F685" s="15">
        <v>927.400024</v>
      </c>
      <c r="G685" s="15">
        <v>3232361.0</v>
      </c>
      <c r="H685" s="19">
        <f t="shared" si="1"/>
        <v>0.003625383955</v>
      </c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8">
        <v>45352.0</v>
      </c>
      <c r="B686" s="15">
        <v>934.0</v>
      </c>
      <c r="C686" s="15">
        <v>938.049988</v>
      </c>
      <c r="D686" s="15">
        <v>927.0</v>
      </c>
      <c r="E686" s="15">
        <v>929.299988</v>
      </c>
      <c r="F686" s="15">
        <v>929.299988</v>
      </c>
      <c r="G686" s="15">
        <v>1305118.0</v>
      </c>
      <c r="H686" s="19">
        <f t="shared" si="1"/>
        <v>0.002048699537</v>
      </c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8">
        <v>45355.0</v>
      </c>
      <c r="B687" s="15">
        <v>934.799988</v>
      </c>
      <c r="C687" s="15">
        <v>945.849976</v>
      </c>
      <c r="D687" s="15">
        <v>923.950012</v>
      </c>
      <c r="E687" s="15">
        <v>938.0</v>
      </c>
      <c r="F687" s="15">
        <v>938.0</v>
      </c>
      <c r="G687" s="15">
        <v>2010812.0</v>
      </c>
      <c r="H687" s="19">
        <f t="shared" si="1"/>
        <v>0.009361898324</v>
      </c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8">
        <v>45356.0</v>
      </c>
      <c r="B688" s="15">
        <v>938.0</v>
      </c>
      <c r="C688" s="15">
        <v>941.25</v>
      </c>
      <c r="D688" s="15">
        <v>928.650024</v>
      </c>
      <c r="E688" s="15">
        <v>935.799988</v>
      </c>
      <c r="F688" s="15">
        <v>935.799988</v>
      </c>
      <c r="G688" s="15">
        <v>1167131.0</v>
      </c>
      <c r="H688" s="19">
        <f t="shared" si="1"/>
        <v>-0.002345428571</v>
      </c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8">
        <v>45357.0</v>
      </c>
      <c r="B689" s="15">
        <v>936.0</v>
      </c>
      <c r="C689" s="15">
        <v>937.0</v>
      </c>
      <c r="D689" s="15">
        <v>911.549988</v>
      </c>
      <c r="E689" s="15">
        <v>929.049988</v>
      </c>
      <c r="F689" s="15">
        <v>929.049988</v>
      </c>
      <c r="G689" s="15">
        <v>1888149.0</v>
      </c>
      <c r="H689" s="19">
        <f t="shared" si="1"/>
        <v>-0.00721307981</v>
      </c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8">
        <v>45358.0</v>
      </c>
      <c r="B690" s="15">
        <v>931.599976</v>
      </c>
      <c r="C690" s="15">
        <v>946.450012</v>
      </c>
      <c r="D690" s="15">
        <v>930.150024</v>
      </c>
      <c r="E690" s="15">
        <v>937.200012</v>
      </c>
      <c r="F690" s="15">
        <v>937.200012</v>
      </c>
      <c r="G690" s="15">
        <v>1565514.0</v>
      </c>
      <c r="H690" s="19">
        <f t="shared" si="1"/>
        <v>0.008772427862</v>
      </c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8">
        <v>45362.0</v>
      </c>
      <c r="B691" s="15">
        <v>937.200012</v>
      </c>
      <c r="C691" s="15">
        <v>961.0</v>
      </c>
      <c r="D691" s="15">
        <v>931.049988</v>
      </c>
      <c r="E691" s="15">
        <v>938.599976</v>
      </c>
      <c r="F691" s="15">
        <v>938.599976</v>
      </c>
      <c r="G691" s="15">
        <v>3587812.0</v>
      </c>
      <c r="H691" s="19">
        <f t="shared" si="1"/>
        <v>0.001493772922</v>
      </c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8">
        <v>45363.0</v>
      </c>
      <c r="B692" s="15">
        <v>939.0</v>
      </c>
      <c r="C692" s="15">
        <v>941.400024</v>
      </c>
      <c r="D692" s="15">
        <v>915.5</v>
      </c>
      <c r="E692" s="15">
        <v>920.950012</v>
      </c>
      <c r="F692" s="15">
        <v>920.950012</v>
      </c>
      <c r="G692" s="15">
        <v>1570749.0</v>
      </c>
      <c r="H692" s="19">
        <f t="shared" si="1"/>
        <v>-0.01880456473</v>
      </c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8">
        <v>45364.0</v>
      </c>
      <c r="B693" s="15">
        <v>925.150024</v>
      </c>
      <c r="C693" s="15">
        <v>931.5</v>
      </c>
      <c r="D693" s="15">
        <v>869.0</v>
      </c>
      <c r="E693" s="15">
        <v>880.650024</v>
      </c>
      <c r="F693" s="15">
        <v>880.650024</v>
      </c>
      <c r="G693" s="15">
        <v>4244094.0</v>
      </c>
      <c r="H693" s="19">
        <f t="shared" si="1"/>
        <v>-0.04375914813</v>
      </c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8">
        <v>45365.0</v>
      </c>
      <c r="B694" s="15">
        <v>875.049988</v>
      </c>
      <c r="C694" s="15">
        <v>905.349976</v>
      </c>
      <c r="D694" s="15">
        <v>862.75</v>
      </c>
      <c r="E694" s="15">
        <v>898.75</v>
      </c>
      <c r="F694" s="15">
        <v>898.75</v>
      </c>
      <c r="G694" s="15">
        <v>2731461.0</v>
      </c>
      <c r="H694" s="19">
        <f t="shared" si="1"/>
        <v>0.02055297281</v>
      </c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8">
        <v>45366.0</v>
      </c>
      <c r="B695" s="15">
        <v>899.0</v>
      </c>
      <c r="C695" s="15">
        <v>916.150024</v>
      </c>
      <c r="D695" s="15">
        <v>877.049988</v>
      </c>
      <c r="E695" s="15">
        <v>912.5</v>
      </c>
      <c r="F695" s="15">
        <v>912.5</v>
      </c>
      <c r="G695" s="15">
        <v>3393550.0</v>
      </c>
      <c r="H695" s="19">
        <f t="shared" si="1"/>
        <v>0.01529902643</v>
      </c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8">
        <v>45369.0</v>
      </c>
      <c r="B696" s="15">
        <v>912.5</v>
      </c>
      <c r="C696" s="15">
        <v>922.950012</v>
      </c>
      <c r="D696" s="15">
        <v>904.0</v>
      </c>
      <c r="E696" s="15">
        <v>918.900024</v>
      </c>
      <c r="F696" s="15">
        <v>918.900024</v>
      </c>
      <c r="G696" s="15">
        <v>1605008.0</v>
      </c>
      <c r="H696" s="19">
        <f t="shared" si="1"/>
        <v>0.007013724932</v>
      </c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8">
        <v>45370.0</v>
      </c>
      <c r="B697" s="15">
        <v>918.900024</v>
      </c>
      <c r="C697" s="15">
        <v>918.900024</v>
      </c>
      <c r="D697" s="15">
        <v>900.0</v>
      </c>
      <c r="E697" s="15">
        <v>906.400024</v>
      </c>
      <c r="F697" s="15">
        <v>906.400024</v>
      </c>
      <c r="G697" s="15">
        <v>1737458.0</v>
      </c>
      <c r="H697" s="19">
        <f t="shared" si="1"/>
        <v>-0.01360322089</v>
      </c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8">
        <v>45371.0</v>
      </c>
      <c r="B698" s="15">
        <v>906.0</v>
      </c>
      <c r="C698" s="15">
        <v>916.5</v>
      </c>
      <c r="D698" s="15">
        <v>882.799988</v>
      </c>
      <c r="E698" s="15">
        <v>901.900024</v>
      </c>
      <c r="F698" s="15">
        <v>901.900024</v>
      </c>
      <c r="G698" s="15">
        <v>1978201.0</v>
      </c>
      <c r="H698" s="19">
        <f t="shared" si="1"/>
        <v>-0.004964695367</v>
      </c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8">
        <v>45372.0</v>
      </c>
      <c r="B699" s="15">
        <v>913.0</v>
      </c>
      <c r="C699" s="15">
        <v>943.900024</v>
      </c>
      <c r="D699" s="15">
        <v>910.200012</v>
      </c>
      <c r="E699" s="15">
        <v>934.75</v>
      </c>
      <c r="F699" s="15">
        <v>934.75</v>
      </c>
      <c r="G699" s="15">
        <v>3688075.0</v>
      </c>
      <c r="H699" s="19">
        <f t="shared" si="1"/>
        <v>0.03642307919</v>
      </c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8">
        <v>45373.0</v>
      </c>
      <c r="B700" s="15">
        <v>938.900024</v>
      </c>
      <c r="C700" s="15">
        <v>940.900024</v>
      </c>
      <c r="D700" s="15">
        <v>926.5</v>
      </c>
      <c r="E700" s="15">
        <v>928.700012</v>
      </c>
      <c r="F700" s="15">
        <v>928.700012</v>
      </c>
      <c r="G700" s="15">
        <v>1554947.0</v>
      </c>
      <c r="H700" s="19">
        <f t="shared" si="1"/>
        <v>-0.006472305964</v>
      </c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8">
        <v>45377.0</v>
      </c>
      <c r="B701" s="15">
        <v>928.700012</v>
      </c>
      <c r="C701" s="15">
        <v>936.75</v>
      </c>
      <c r="D701" s="15">
        <v>920.150024</v>
      </c>
      <c r="E701" s="15">
        <v>928.75</v>
      </c>
      <c r="F701" s="15">
        <v>928.75</v>
      </c>
      <c r="G701" s="15">
        <v>1707716.0</v>
      </c>
      <c r="H701" s="19">
        <f t="shared" si="1"/>
        <v>0.00005382577727</v>
      </c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8">
        <v>45378.0</v>
      </c>
      <c r="B702" s="15">
        <v>930.950012</v>
      </c>
      <c r="C702" s="15">
        <v>940.200012</v>
      </c>
      <c r="D702" s="15">
        <v>926.400024</v>
      </c>
      <c r="E702" s="15">
        <v>929.950012</v>
      </c>
      <c r="F702" s="15">
        <v>929.950012</v>
      </c>
      <c r="G702" s="15">
        <v>1511283.0</v>
      </c>
      <c r="H702" s="19">
        <f t="shared" si="1"/>
        <v>0.00129207214</v>
      </c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8">
        <v>45379.0</v>
      </c>
      <c r="B703" s="15">
        <v>933.400024</v>
      </c>
      <c r="C703" s="15">
        <v>939.400024</v>
      </c>
      <c r="D703" s="15">
        <v>925.0</v>
      </c>
      <c r="E703" s="15">
        <v>929.700012</v>
      </c>
      <c r="F703" s="15">
        <v>929.700012</v>
      </c>
      <c r="G703" s="15">
        <v>1729773.0</v>
      </c>
      <c r="H703" s="19">
        <f t="shared" si="1"/>
        <v>-0.0002688316541</v>
      </c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8">
        <v>45383.0</v>
      </c>
      <c r="B704" s="15">
        <v>930.049988</v>
      </c>
      <c r="C704" s="15">
        <v>972.950012</v>
      </c>
      <c r="D704" s="15">
        <v>930.0</v>
      </c>
      <c r="E704" s="15">
        <v>970.150024</v>
      </c>
      <c r="F704" s="15">
        <v>970.150024</v>
      </c>
      <c r="G704" s="15">
        <v>4502891.0</v>
      </c>
      <c r="H704" s="19">
        <f t="shared" si="1"/>
        <v>0.04350867105</v>
      </c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8">
        <v>45384.0</v>
      </c>
      <c r="B705" s="15">
        <v>970.950012</v>
      </c>
      <c r="C705" s="15">
        <v>1012.299988</v>
      </c>
      <c r="D705" s="15">
        <v>964.099976</v>
      </c>
      <c r="E705" s="15">
        <v>1003.799988</v>
      </c>
      <c r="F705" s="15">
        <v>1003.799988</v>
      </c>
      <c r="G705" s="15">
        <v>8068586.0</v>
      </c>
      <c r="H705" s="19">
        <f t="shared" si="1"/>
        <v>0.03468531997</v>
      </c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8">
        <v>45385.0</v>
      </c>
      <c r="B706" s="15">
        <v>1003.0</v>
      </c>
      <c r="C706" s="15">
        <v>1037.949951</v>
      </c>
      <c r="D706" s="15">
        <v>992.099976</v>
      </c>
      <c r="E706" s="15">
        <v>1014.650024</v>
      </c>
      <c r="F706" s="15">
        <v>1014.650024</v>
      </c>
      <c r="G706" s="15">
        <v>7346168.0</v>
      </c>
      <c r="H706" s="19">
        <f t="shared" si="1"/>
        <v>0.01080896207</v>
      </c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8">
        <v>45386.0</v>
      </c>
      <c r="B707" s="15">
        <v>1020.0</v>
      </c>
      <c r="C707" s="15">
        <v>1022.5</v>
      </c>
      <c r="D707" s="15">
        <v>994.049988</v>
      </c>
      <c r="E707" s="15">
        <v>998.150024</v>
      </c>
      <c r="F707" s="15">
        <v>998.150024</v>
      </c>
      <c r="G707" s="15">
        <v>2790135.0</v>
      </c>
      <c r="H707" s="19">
        <f t="shared" si="1"/>
        <v>-0.01626176476</v>
      </c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8">
        <v>45387.0</v>
      </c>
      <c r="B708" s="15">
        <v>998.0</v>
      </c>
      <c r="C708" s="15">
        <v>1010.950012</v>
      </c>
      <c r="D708" s="15">
        <v>993.849976</v>
      </c>
      <c r="E708" s="15">
        <v>1002.950012</v>
      </c>
      <c r="F708" s="15">
        <v>1002.950012</v>
      </c>
      <c r="G708" s="15">
        <v>1970844.0</v>
      </c>
      <c r="H708" s="19">
        <f t="shared" si="1"/>
        <v>0.004808884321</v>
      </c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8">
        <v>45390.0</v>
      </c>
      <c r="B709" s="15">
        <v>1005.0</v>
      </c>
      <c r="C709" s="15">
        <v>1026.0</v>
      </c>
      <c r="D709" s="15">
        <v>998.0</v>
      </c>
      <c r="E709" s="15">
        <v>1014.799988</v>
      </c>
      <c r="F709" s="15">
        <v>1014.799988</v>
      </c>
      <c r="G709" s="15">
        <v>3002278.0</v>
      </c>
      <c r="H709" s="19">
        <f t="shared" si="1"/>
        <v>0.01181512125</v>
      </c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8">
        <v>45391.0</v>
      </c>
      <c r="B710" s="15">
        <v>1019.650024</v>
      </c>
      <c r="C710" s="15">
        <v>1030.900024</v>
      </c>
      <c r="D710" s="15">
        <v>1006.099976</v>
      </c>
      <c r="E710" s="15">
        <v>1010.450012</v>
      </c>
      <c r="F710" s="15">
        <v>1010.450012</v>
      </c>
      <c r="G710" s="15">
        <v>2439829.0</v>
      </c>
      <c r="H710" s="19">
        <f t="shared" si="1"/>
        <v>-0.004286535329</v>
      </c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8">
        <v>45392.0</v>
      </c>
      <c r="B711" s="15">
        <v>1014.650024</v>
      </c>
      <c r="C711" s="15">
        <v>1029.5</v>
      </c>
      <c r="D711" s="15">
        <v>1013.400024</v>
      </c>
      <c r="E711" s="15">
        <v>1023.0</v>
      </c>
      <c r="F711" s="15">
        <v>1023.0</v>
      </c>
      <c r="G711" s="15">
        <v>2728295.0</v>
      </c>
      <c r="H711" s="19">
        <f t="shared" si="1"/>
        <v>0.01242019679</v>
      </c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8">
        <v>45394.0</v>
      </c>
      <c r="B712" s="15">
        <v>1022.75</v>
      </c>
      <c r="C712" s="15">
        <v>1068.800049</v>
      </c>
      <c r="D712" s="15">
        <v>1016.849976</v>
      </c>
      <c r="E712" s="15">
        <v>1057.650024</v>
      </c>
      <c r="F712" s="15">
        <v>1057.650024</v>
      </c>
      <c r="G712" s="15">
        <v>1.0944073E7</v>
      </c>
      <c r="H712" s="19">
        <f t="shared" si="1"/>
        <v>0.0338709912</v>
      </c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8">
        <v>45397.0</v>
      </c>
      <c r="B713" s="15">
        <v>1044.949951</v>
      </c>
      <c r="C713" s="15">
        <v>1048.25</v>
      </c>
      <c r="D713" s="15">
        <v>1018.950012</v>
      </c>
      <c r="E713" s="15">
        <v>1029.5</v>
      </c>
      <c r="F713" s="15">
        <v>1029.5</v>
      </c>
      <c r="G713" s="15">
        <v>4729372.0</v>
      </c>
      <c r="H713" s="19">
        <f t="shared" si="1"/>
        <v>-0.02661563217</v>
      </c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8">
        <v>45398.0</v>
      </c>
      <c r="B714" s="15">
        <v>1024.599976</v>
      </c>
      <c r="C714" s="15">
        <v>1036.900024</v>
      </c>
      <c r="D714" s="15">
        <v>1006.25</v>
      </c>
      <c r="E714" s="15">
        <v>1016.450012</v>
      </c>
      <c r="F714" s="15">
        <v>1016.450012</v>
      </c>
      <c r="G714" s="15">
        <v>2760799.0</v>
      </c>
      <c r="H714" s="19">
        <f t="shared" si="1"/>
        <v>-0.01267604468</v>
      </c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8">
        <v>45400.0</v>
      </c>
      <c r="B715" s="15">
        <v>1022.400024</v>
      </c>
      <c r="C715" s="15">
        <v>1033.5</v>
      </c>
      <c r="D715" s="15">
        <v>988.0</v>
      </c>
      <c r="E715" s="15">
        <v>992.950012</v>
      </c>
      <c r="F715" s="15">
        <v>992.950012</v>
      </c>
      <c r="G715" s="15">
        <v>2259164.0</v>
      </c>
      <c r="H715" s="19">
        <f t="shared" si="1"/>
        <v>-0.02311968097</v>
      </c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8">
        <v>45401.0</v>
      </c>
      <c r="B716" s="15">
        <v>990.0</v>
      </c>
      <c r="C716" s="15">
        <v>1006.150024</v>
      </c>
      <c r="D716" s="15">
        <v>970.5</v>
      </c>
      <c r="E716" s="15">
        <v>992.0</v>
      </c>
      <c r="F716" s="15">
        <v>992.0</v>
      </c>
      <c r="G716" s="15">
        <v>3556149.0</v>
      </c>
      <c r="H716" s="19">
        <f t="shared" si="1"/>
        <v>-0.0009567571263</v>
      </c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8">
        <v>45404.0</v>
      </c>
      <c r="B717" s="15">
        <v>1004.950012</v>
      </c>
      <c r="C717" s="15">
        <v>1008.049988</v>
      </c>
      <c r="D717" s="15">
        <v>995.0</v>
      </c>
      <c r="E717" s="15">
        <v>1000.049988</v>
      </c>
      <c r="F717" s="15">
        <v>1000.049988</v>
      </c>
      <c r="G717" s="15">
        <v>1465887.0</v>
      </c>
      <c r="H717" s="19">
        <f t="shared" si="1"/>
        <v>0.008114907258</v>
      </c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8">
        <v>45405.0</v>
      </c>
      <c r="B718" s="15">
        <v>1005.0</v>
      </c>
      <c r="C718" s="15">
        <v>1019.650024</v>
      </c>
      <c r="D718" s="15">
        <v>998.799988</v>
      </c>
      <c r="E718" s="15">
        <v>1016.299988</v>
      </c>
      <c r="F718" s="15">
        <v>1016.299988</v>
      </c>
      <c r="G718" s="15">
        <v>1744634.0</v>
      </c>
      <c r="H718" s="19">
        <f t="shared" si="1"/>
        <v>0.01624918774</v>
      </c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8">
        <v>45406.0</v>
      </c>
      <c r="B719" s="15">
        <v>1023.0</v>
      </c>
      <c r="C719" s="15">
        <v>1027.949951</v>
      </c>
      <c r="D719" s="15">
        <v>1016.849976</v>
      </c>
      <c r="E719" s="15">
        <v>1025.349976</v>
      </c>
      <c r="F719" s="15">
        <v>1025.349976</v>
      </c>
      <c r="G719" s="15">
        <v>1689611.0</v>
      </c>
      <c r="H719" s="19">
        <f t="shared" si="1"/>
        <v>0.008904839227</v>
      </c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8">
        <v>45407.0</v>
      </c>
      <c r="B720" s="15">
        <v>1030.0</v>
      </c>
      <c r="C720" s="15">
        <v>1038.0</v>
      </c>
      <c r="D720" s="15">
        <v>1022.5</v>
      </c>
      <c r="E720" s="15">
        <v>1027.800049</v>
      </c>
      <c r="F720" s="15">
        <v>1027.800049</v>
      </c>
      <c r="G720" s="15">
        <v>1586884.0</v>
      </c>
      <c r="H720" s="19">
        <f t="shared" si="1"/>
        <v>0.002389499251</v>
      </c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8">
        <v>45408.0</v>
      </c>
      <c r="B721" s="15">
        <v>1034.300049</v>
      </c>
      <c r="C721" s="15">
        <v>1059.0</v>
      </c>
      <c r="D721" s="15">
        <v>1026.599976</v>
      </c>
      <c r="E721" s="15">
        <v>1044.449951</v>
      </c>
      <c r="F721" s="15">
        <v>1044.449951</v>
      </c>
      <c r="G721" s="15">
        <v>3367252.0</v>
      </c>
      <c r="H721" s="19">
        <f t="shared" si="1"/>
        <v>0.01619955362</v>
      </c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8">
        <v>45411.0</v>
      </c>
      <c r="B722" s="15">
        <v>1052.0</v>
      </c>
      <c r="C722" s="15">
        <v>1068.0</v>
      </c>
      <c r="D722" s="15">
        <v>1037.650024</v>
      </c>
      <c r="E722" s="15">
        <v>1045.25</v>
      </c>
      <c r="F722" s="15">
        <v>1045.25</v>
      </c>
      <c r="G722" s="15">
        <v>3571796.0</v>
      </c>
      <c r="H722" s="19">
        <f t="shared" si="1"/>
        <v>0.0007660003232</v>
      </c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8">
        <v>45412.0</v>
      </c>
      <c r="B723" s="15">
        <v>1050.5</v>
      </c>
      <c r="C723" s="15">
        <v>1057.699951</v>
      </c>
      <c r="D723" s="15">
        <v>1034.199951</v>
      </c>
      <c r="E723" s="15">
        <v>1038.75</v>
      </c>
      <c r="F723" s="15">
        <v>1038.75</v>
      </c>
      <c r="G723" s="15">
        <v>1889199.0</v>
      </c>
      <c r="H723" s="19">
        <f t="shared" si="1"/>
        <v>-0.006218607989</v>
      </c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8">
        <v>45414.0</v>
      </c>
      <c r="B724" s="15">
        <v>1038.75</v>
      </c>
      <c r="C724" s="15">
        <v>1076.449951</v>
      </c>
      <c r="D724" s="15">
        <v>1036.800049</v>
      </c>
      <c r="E724" s="15">
        <v>1056.300049</v>
      </c>
      <c r="F724" s="15">
        <v>1056.300049</v>
      </c>
      <c r="G724" s="15">
        <v>3702221.0</v>
      </c>
      <c r="H724" s="19">
        <f t="shared" si="1"/>
        <v>0.01689535403</v>
      </c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8">
        <v>45415.0</v>
      </c>
      <c r="B725" s="15">
        <v>1061.199951</v>
      </c>
      <c r="C725" s="15">
        <v>1075.599976</v>
      </c>
      <c r="D725" s="15">
        <v>1041.0</v>
      </c>
      <c r="E725" s="15">
        <v>1052.449951</v>
      </c>
      <c r="F725" s="15">
        <v>1052.449951</v>
      </c>
      <c r="G725" s="15">
        <v>2504576.0</v>
      </c>
      <c r="H725" s="19">
        <f t="shared" si="1"/>
        <v>-0.003644890487</v>
      </c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8">
        <v>45418.0</v>
      </c>
      <c r="B726" s="15">
        <v>1055.0</v>
      </c>
      <c r="C726" s="15">
        <v>1057.199951</v>
      </c>
      <c r="D726" s="15">
        <v>1007.150024</v>
      </c>
      <c r="E726" s="15">
        <v>1022.200012</v>
      </c>
      <c r="F726" s="15">
        <v>1022.200012</v>
      </c>
      <c r="G726" s="15">
        <v>3652645.0</v>
      </c>
      <c r="H726" s="19">
        <f t="shared" si="1"/>
        <v>-0.02874240145</v>
      </c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8">
        <v>45419.0</v>
      </c>
      <c r="B727" s="15">
        <v>1025.0</v>
      </c>
      <c r="C727" s="15">
        <v>1029.099976</v>
      </c>
      <c r="D727" s="15">
        <v>987.25</v>
      </c>
      <c r="E727" s="15">
        <v>993.5</v>
      </c>
      <c r="F727" s="15">
        <v>993.5</v>
      </c>
      <c r="G727" s="15">
        <v>2314924.0</v>
      </c>
      <c r="H727" s="19">
        <f t="shared" si="1"/>
        <v>-0.02807670873</v>
      </c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8">
        <v>45420.0</v>
      </c>
      <c r="B728" s="15">
        <v>989.0</v>
      </c>
      <c r="C728" s="15">
        <v>1016.0</v>
      </c>
      <c r="D728" s="15">
        <v>989.0</v>
      </c>
      <c r="E728" s="15">
        <v>1007.450012</v>
      </c>
      <c r="F728" s="15">
        <v>1007.450012</v>
      </c>
      <c r="G728" s="15">
        <v>1871931.0</v>
      </c>
      <c r="H728" s="19">
        <f t="shared" si="1"/>
        <v>0.01404128032</v>
      </c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8">
        <v>45421.0</v>
      </c>
      <c r="B729" s="15">
        <v>1009.0</v>
      </c>
      <c r="C729" s="15">
        <v>1013.450012</v>
      </c>
      <c r="D729" s="15">
        <v>982.700012</v>
      </c>
      <c r="E729" s="15">
        <v>986.099976</v>
      </c>
      <c r="F729" s="15">
        <v>986.099976</v>
      </c>
      <c r="G729" s="15">
        <v>1962409.0</v>
      </c>
      <c r="H729" s="19">
        <f t="shared" si="1"/>
        <v>-0.0211921542</v>
      </c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8">
        <v>45422.0</v>
      </c>
      <c r="B730" s="15">
        <v>988.349976</v>
      </c>
      <c r="C730" s="15">
        <v>1003.950012</v>
      </c>
      <c r="D730" s="15">
        <v>983.0</v>
      </c>
      <c r="E730" s="15">
        <v>995.549988</v>
      </c>
      <c r="F730" s="15">
        <v>995.549988</v>
      </c>
      <c r="G730" s="15">
        <v>1307761.0</v>
      </c>
      <c r="H730" s="19">
        <f t="shared" si="1"/>
        <v>0.009583218974</v>
      </c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8">
        <v>45425.0</v>
      </c>
      <c r="B731" s="15">
        <v>999.700012</v>
      </c>
      <c r="C731" s="15">
        <v>999.700012</v>
      </c>
      <c r="D731" s="15">
        <v>973.5</v>
      </c>
      <c r="E731" s="15">
        <v>990.150024</v>
      </c>
      <c r="F731" s="15">
        <v>990.150024</v>
      </c>
      <c r="G731" s="15">
        <v>1422203.0</v>
      </c>
      <c r="H731" s="19">
        <f t="shared" si="1"/>
        <v>-0.005424101316</v>
      </c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8">
        <v>45426.0</v>
      </c>
      <c r="B732" s="15">
        <v>994.25</v>
      </c>
      <c r="C732" s="15">
        <v>1032.550049</v>
      </c>
      <c r="D732" s="15">
        <v>993.650024</v>
      </c>
      <c r="E732" s="15">
        <v>1026.650024</v>
      </c>
      <c r="F732" s="15">
        <v>1026.650024</v>
      </c>
      <c r="G732" s="15">
        <v>2536531.0</v>
      </c>
      <c r="H732" s="19">
        <f t="shared" si="1"/>
        <v>0.03686310066</v>
      </c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8">
        <v>45427.0</v>
      </c>
      <c r="B733" s="15">
        <v>1027.050049</v>
      </c>
      <c r="C733" s="15">
        <v>1039.900024</v>
      </c>
      <c r="D733" s="15">
        <v>1020.25</v>
      </c>
      <c r="E733" s="15">
        <v>1028.650024</v>
      </c>
      <c r="F733" s="15">
        <v>1028.650024</v>
      </c>
      <c r="G733" s="15">
        <v>1328038.0</v>
      </c>
      <c r="H733" s="19">
        <f t="shared" si="1"/>
        <v>0.001948083527</v>
      </c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8">
        <v>45428.0</v>
      </c>
      <c r="B734" s="15">
        <v>1031.0</v>
      </c>
      <c r="C734" s="15">
        <v>1044.699951</v>
      </c>
      <c r="D734" s="15">
        <v>1029.099976</v>
      </c>
      <c r="E734" s="15">
        <v>1040.5</v>
      </c>
      <c r="F734" s="15">
        <v>1040.5</v>
      </c>
      <c r="G734" s="15">
        <v>1662931.0</v>
      </c>
      <c r="H734" s="19">
        <f t="shared" si="1"/>
        <v>0.01151992974</v>
      </c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8">
        <v>45429.0</v>
      </c>
      <c r="B735" s="15">
        <v>1041.099976</v>
      </c>
      <c r="C735" s="15">
        <v>1100.0</v>
      </c>
      <c r="D735" s="15">
        <v>1039.150024</v>
      </c>
      <c r="E735" s="15">
        <v>1093.699951</v>
      </c>
      <c r="F735" s="15">
        <v>1093.699951</v>
      </c>
      <c r="G735" s="15">
        <v>6852207.0</v>
      </c>
      <c r="H735" s="19">
        <f t="shared" si="1"/>
        <v>0.05112921768</v>
      </c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8">
        <v>45433.0</v>
      </c>
      <c r="B736" s="15">
        <v>1109.0</v>
      </c>
      <c r="C736" s="15">
        <v>1122.300049</v>
      </c>
      <c r="D736" s="15">
        <v>1087.550049</v>
      </c>
      <c r="E736" s="15">
        <v>1115.550049</v>
      </c>
      <c r="F736" s="15">
        <v>1115.550049</v>
      </c>
      <c r="G736" s="15">
        <v>4808902.0</v>
      </c>
      <c r="H736" s="19">
        <f t="shared" si="1"/>
        <v>0.01997814664</v>
      </c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8">
        <v>45434.0</v>
      </c>
      <c r="B737" s="15">
        <v>1121.099976</v>
      </c>
      <c r="C737" s="15">
        <v>1136.900024</v>
      </c>
      <c r="D737" s="15">
        <v>1106.050049</v>
      </c>
      <c r="E737" s="15">
        <v>1126.0</v>
      </c>
      <c r="F737" s="15">
        <v>1126.0</v>
      </c>
      <c r="G737" s="15">
        <v>3646850.0</v>
      </c>
      <c r="H737" s="19">
        <f t="shared" si="1"/>
        <v>0.009367532196</v>
      </c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8">
        <v>45435.0</v>
      </c>
      <c r="B738" s="15">
        <v>1129.0</v>
      </c>
      <c r="C738" s="15">
        <v>1138.900024</v>
      </c>
      <c r="D738" s="15">
        <v>1116.599976</v>
      </c>
      <c r="E738" s="15">
        <v>1122.099976</v>
      </c>
      <c r="F738" s="15">
        <v>1122.099976</v>
      </c>
      <c r="G738" s="15">
        <v>2440066.0</v>
      </c>
      <c r="H738" s="19">
        <f t="shared" si="1"/>
        <v>-0.003463609236</v>
      </c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8">
        <v>45436.0</v>
      </c>
      <c r="B739" s="15">
        <v>1124.0</v>
      </c>
      <c r="C739" s="15">
        <v>1124.0</v>
      </c>
      <c r="D739" s="15">
        <v>1107.0</v>
      </c>
      <c r="E739" s="15">
        <v>1109.050049</v>
      </c>
      <c r="F739" s="15">
        <v>1109.050049</v>
      </c>
      <c r="G739" s="15">
        <v>2116118.0</v>
      </c>
      <c r="H739" s="19">
        <f t="shared" si="1"/>
        <v>-0.01162991469</v>
      </c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8">
        <v>45439.0</v>
      </c>
      <c r="B740" s="15">
        <v>1116.099976</v>
      </c>
      <c r="C740" s="15">
        <v>1119.75</v>
      </c>
      <c r="D740" s="15">
        <v>1095.050049</v>
      </c>
      <c r="E740" s="15">
        <v>1101.25</v>
      </c>
      <c r="F740" s="15">
        <v>1101.25</v>
      </c>
      <c r="G740" s="15">
        <v>2681079.0</v>
      </c>
      <c r="H740" s="19">
        <f t="shared" si="1"/>
        <v>-0.007033090172</v>
      </c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8">
        <v>45440.0</v>
      </c>
      <c r="B741" s="15">
        <v>1105.0</v>
      </c>
      <c r="C741" s="15">
        <v>1107.599976</v>
      </c>
      <c r="D741" s="15">
        <v>1077.75</v>
      </c>
      <c r="E741" s="15">
        <v>1083.099976</v>
      </c>
      <c r="F741" s="15">
        <v>1083.099976</v>
      </c>
      <c r="G741" s="15">
        <v>2907482.0</v>
      </c>
      <c r="H741" s="19">
        <f t="shared" si="1"/>
        <v>-0.01648129308</v>
      </c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8">
        <v>45441.0</v>
      </c>
      <c r="B742" s="15">
        <v>1046.099976</v>
      </c>
      <c r="C742" s="15">
        <v>1061.300049</v>
      </c>
      <c r="D742" s="15">
        <v>1027.150024</v>
      </c>
      <c r="E742" s="15">
        <v>1042.900024</v>
      </c>
      <c r="F742" s="15">
        <v>1042.900024</v>
      </c>
      <c r="G742" s="15">
        <v>7214522.0</v>
      </c>
      <c r="H742" s="19">
        <f t="shared" si="1"/>
        <v>-0.03711564296</v>
      </c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8">
        <v>45443.0</v>
      </c>
      <c r="B743" s="15">
        <v>1035.400024</v>
      </c>
      <c r="C743" s="15">
        <v>1037.75</v>
      </c>
      <c r="D743" s="15">
        <v>998.0</v>
      </c>
      <c r="E743" s="15">
        <v>1020.349976</v>
      </c>
      <c r="F743" s="15">
        <v>1020.349976</v>
      </c>
      <c r="G743" s="15">
        <v>4781666.0</v>
      </c>
      <c r="H743" s="19">
        <f t="shared" si="1"/>
        <v>-0.02162244461</v>
      </c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6.13"/>
  </cols>
  <sheetData>
    <row r="1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44347.0</v>
      </c>
      <c r="B2" s="15">
        <v>3628.0</v>
      </c>
      <c r="C2" s="15">
        <v>3712.0</v>
      </c>
      <c r="D2" s="15">
        <v>3565.0</v>
      </c>
      <c r="E2" s="15">
        <v>3643.550049</v>
      </c>
      <c r="F2" s="15">
        <v>3574.023926</v>
      </c>
      <c r="G2" s="15">
        <v>241839.0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>
        <v>44348.0</v>
      </c>
      <c r="B3" s="15">
        <v>3669.0</v>
      </c>
      <c r="C3" s="15">
        <v>3670.0</v>
      </c>
      <c r="D3" s="15">
        <v>3597.0</v>
      </c>
      <c r="E3" s="15">
        <v>3609.399902</v>
      </c>
      <c r="F3" s="15">
        <v>3540.525146</v>
      </c>
      <c r="G3" s="15">
        <v>126715.0</v>
      </c>
      <c r="H3" s="19">
        <f t="shared" ref="H3:H743" si="1">(E3-E2)/E2</f>
        <v>-0.009372767367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>
        <v>44349.0</v>
      </c>
      <c r="B4" s="15">
        <v>3615.0</v>
      </c>
      <c r="C4" s="15">
        <v>3635.100098</v>
      </c>
      <c r="D4" s="15">
        <v>3580.0</v>
      </c>
      <c r="E4" s="15">
        <v>3591.399902</v>
      </c>
      <c r="F4" s="15">
        <v>3522.868896</v>
      </c>
      <c r="G4" s="15">
        <v>80369.0</v>
      </c>
      <c r="H4" s="19">
        <f t="shared" si="1"/>
        <v>-0.004986978581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>
        <v>44350.0</v>
      </c>
      <c r="B5" s="15">
        <v>3594.149902</v>
      </c>
      <c r="C5" s="15">
        <v>3622.399902</v>
      </c>
      <c r="D5" s="15">
        <v>3561.350098</v>
      </c>
      <c r="E5" s="15">
        <v>3568.75</v>
      </c>
      <c r="F5" s="15">
        <v>3500.651123</v>
      </c>
      <c r="G5" s="15">
        <v>102755.0</v>
      </c>
      <c r="H5" s="19">
        <f t="shared" si="1"/>
        <v>-0.006306705635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>
        <v>44351.0</v>
      </c>
      <c r="B6" s="15">
        <v>3571.5</v>
      </c>
      <c r="C6" s="15">
        <v>3584.949951</v>
      </c>
      <c r="D6" s="15">
        <v>3555.0</v>
      </c>
      <c r="E6" s="15">
        <v>3566.149902</v>
      </c>
      <c r="F6" s="15">
        <v>3498.100586</v>
      </c>
      <c r="G6" s="15">
        <v>71678.0</v>
      </c>
      <c r="H6" s="19">
        <f t="shared" si="1"/>
        <v>-0.0007285738704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>
        <v>44354.0</v>
      </c>
      <c r="B7" s="15">
        <v>3581.0</v>
      </c>
      <c r="C7" s="15">
        <v>3629.899902</v>
      </c>
      <c r="D7" s="15">
        <v>3572.100098</v>
      </c>
      <c r="E7" s="15">
        <v>3613.0</v>
      </c>
      <c r="F7" s="15">
        <v>3544.056641</v>
      </c>
      <c r="G7" s="15">
        <v>104539.0</v>
      </c>
      <c r="H7" s="19">
        <f t="shared" si="1"/>
        <v>0.01313744494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>
        <v>44355.0</v>
      </c>
      <c r="B8" s="15">
        <v>3632.5</v>
      </c>
      <c r="C8" s="15">
        <v>3818.0</v>
      </c>
      <c r="D8" s="15">
        <v>3625.199951</v>
      </c>
      <c r="E8" s="15">
        <v>3742.050049</v>
      </c>
      <c r="F8" s="15">
        <v>3670.644287</v>
      </c>
      <c r="G8" s="15">
        <v>599150.0</v>
      </c>
      <c r="H8" s="19">
        <f t="shared" si="1"/>
        <v>0.03571825325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>
        <v>44356.0</v>
      </c>
      <c r="B9" s="15">
        <v>3777.0</v>
      </c>
      <c r="C9" s="15">
        <v>3815.0</v>
      </c>
      <c r="D9" s="15">
        <v>3675.25</v>
      </c>
      <c r="E9" s="15">
        <v>3709.5</v>
      </c>
      <c r="F9" s="15">
        <v>3638.715088</v>
      </c>
      <c r="G9" s="15">
        <v>169247.0</v>
      </c>
      <c r="H9" s="19">
        <f t="shared" si="1"/>
        <v>-0.008698453675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>
        <v>44357.0</v>
      </c>
      <c r="B10" s="15">
        <v>3729.0</v>
      </c>
      <c r="C10" s="15">
        <v>3849.0</v>
      </c>
      <c r="D10" s="15">
        <v>3729.0</v>
      </c>
      <c r="E10" s="15">
        <v>3796.800049</v>
      </c>
      <c r="F10" s="15">
        <v>3724.349609</v>
      </c>
      <c r="G10" s="15">
        <v>229876.0</v>
      </c>
      <c r="H10" s="19">
        <f t="shared" si="1"/>
        <v>0.02353418223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>
        <v>44358.0</v>
      </c>
      <c r="B11" s="15">
        <v>3825.0</v>
      </c>
      <c r="C11" s="15">
        <v>3843.899902</v>
      </c>
      <c r="D11" s="15">
        <v>3785.0</v>
      </c>
      <c r="E11" s="15">
        <v>3820.050049</v>
      </c>
      <c r="F11" s="15">
        <v>3747.156006</v>
      </c>
      <c r="G11" s="15">
        <v>133383.0</v>
      </c>
      <c r="H11" s="19">
        <f t="shared" si="1"/>
        <v>0.006123577671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>
        <v>44361.0</v>
      </c>
      <c r="B12" s="15">
        <v>3840.0</v>
      </c>
      <c r="C12" s="15">
        <v>3868.0</v>
      </c>
      <c r="D12" s="15">
        <v>3715.0</v>
      </c>
      <c r="E12" s="15">
        <v>3809.600098</v>
      </c>
      <c r="F12" s="15">
        <v>3736.905273</v>
      </c>
      <c r="G12" s="15">
        <v>109069.0</v>
      </c>
      <c r="H12" s="19">
        <f t="shared" si="1"/>
        <v>-0.002735553426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>
        <v>44362.0</v>
      </c>
      <c r="B13" s="15">
        <v>3829.0</v>
      </c>
      <c r="C13" s="15">
        <v>3834.399902</v>
      </c>
      <c r="D13" s="15">
        <v>3783.350098</v>
      </c>
      <c r="E13" s="15">
        <v>3797.699951</v>
      </c>
      <c r="F13" s="15">
        <v>3725.232178</v>
      </c>
      <c r="G13" s="15">
        <v>82969.0</v>
      </c>
      <c r="H13" s="19">
        <f t="shared" si="1"/>
        <v>-0.003123726033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>
        <v>44363.0</v>
      </c>
      <c r="B14" s="15">
        <v>3806.5</v>
      </c>
      <c r="C14" s="15">
        <v>3818.050049</v>
      </c>
      <c r="D14" s="15">
        <v>3742.0</v>
      </c>
      <c r="E14" s="15">
        <v>3775.449951</v>
      </c>
      <c r="F14" s="15">
        <v>3703.406738</v>
      </c>
      <c r="G14" s="15">
        <v>90629.0</v>
      </c>
      <c r="H14" s="19">
        <f t="shared" si="1"/>
        <v>-0.005858809355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>
        <v>44364.0</v>
      </c>
      <c r="B15" s="15">
        <v>3730.0</v>
      </c>
      <c r="C15" s="15">
        <v>3820.149902</v>
      </c>
      <c r="D15" s="15">
        <v>3722.149902</v>
      </c>
      <c r="E15" s="15">
        <v>3734.350098</v>
      </c>
      <c r="F15" s="15">
        <v>3686.525879</v>
      </c>
      <c r="G15" s="15">
        <v>102358.0</v>
      </c>
      <c r="H15" s="19">
        <f t="shared" si="1"/>
        <v>-0.01088608074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>
        <v>44365.0</v>
      </c>
      <c r="B16" s="15">
        <v>3755.0</v>
      </c>
      <c r="C16" s="15">
        <v>3789.949951</v>
      </c>
      <c r="D16" s="15">
        <v>3585.0</v>
      </c>
      <c r="E16" s="15">
        <v>3639.949951</v>
      </c>
      <c r="F16" s="15">
        <v>3593.334717</v>
      </c>
      <c r="G16" s="15">
        <v>182470.0</v>
      </c>
      <c r="H16" s="19">
        <f t="shared" si="1"/>
        <v>-0.02527886902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44368.0</v>
      </c>
      <c r="B17" s="15">
        <v>3590.0</v>
      </c>
      <c r="C17" s="15">
        <v>3634.0</v>
      </c>
      <c r="D17" s="15">
        <v>3555.050049</v>
      </c>
      <c r="E17" s="15">
        <v>3624.600098</v>
      </c>
      <c r="F17" s="15">
        <v>3578.181396</v>
      </c>
      <c r="G17" s="15">
        <v>93475.0</v>
      </c>
      <c r="H17" s="19">
        <f t="shared" si="1"/>
        <v>-0.004217050566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>
        <v>44369.0</v>
      </c>
      <c r="B18" s="15">
        <v>3638.0</v>
      </c>
      <c r="C18" s="15">
        <v>3712.0</v>
      </c>
      <c r="D18" s="15">
        <v>3636.0</v>
      </c>
      <c r="E18" s="15">
        <v>3689.699951</v>
      </c>
      <c r="F18" s="15">
        <v>3642.44751</v>
      </c>
      <c r="G18" s="15">
        <v>123922.0</v>
      </c>
      <c r="H18" s="19">
        <f t="shared" si="1"/>
        <v>0.01796056151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>
        <v>44370.0</v>
      </c>
      <c r="B19" s="15">
        <v>3708.0</v>
      </c>
      <c r="C19" s="15">
        <v>3747.300049</v>
      </c>
      <c r="D19" s="15">
        <v>3605.0</v>
      </c>
      <c r="E19" s="15">
        <v>3660.949951</v>
      </c>
      <c r="F19" s="15">
        <v>3614.065674</v>
      </c>
      <c r="G19" s="15">
        <v>233982.0</v>
      </c>
      <c r="H19" s="19">
        <f t="shared" si="1"/>
        <v>-0.00779196151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44371.0</v>
      </c>
      <c r="B20" s="15">
        <v>3650.0</v>
      </c>
      <c r="C20" s="15">
        <v>3790.0</v>
      </c>
      <c r="D20" s="15">
        <v>3650.0</v>
      </c>
      <c r="E20" s="15">
        <v>3740.149902</v>
      </c>
      <c r="F20" s="15">
        <v>3692.251221</v>
      </c>
      <c r="G20" s="15">
        <v>150242.0</v>
      </c>
      <c r="H20" s="19">
        <f t="shared" si="1"/>
        <v>0.02163371586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>
        <v>44372.0</v>
      </c>
      <c r="B21" s="15">
        <v>3772.0</v>
      </c>
      <c r="C21" s="15">
        <v>3820.0</v>
      </c>
      <c r="D21" s="15">
        <v>3749.350098</v>
      </c>
      <c r="E21" s="15">
        <v>3768.649902</v>
      </c>
      <c r="F21" s="15">
        <v>3720.386475</v>
      </c>
      <c r="G21" s="15">
        <v>167980.0</v>
      </c>
      <c r="H21" s="19">
        <f t="shared" si="1"/>
        <v>0.00762001544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44375.0</v>
      </c>
      <c r="B22" s="15">
        <v>3790.0</v>
      </c>
      <c r="C22" s="15">
        <v>3842.0</v>
      </c>
      <c r="D22" s="15">
        <v>3775.350098</v>
      </c>
      <c r="E22" s="15">
        <v>3826.199951</v>
      </c>
      <c r="F22" s="15">
        <v>3777.199463</v>
      </c>
      <c r="G22" s="15">
        <v>149037.0</v>
      </c>
      <c r="H22" s="19">
        <f t="shared" si="1"/>
        <v>0.01527073368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44376.0</v>
      </c>
      <c r="B23" s="15">
        <v>3850.0</v>
      </c>
      <c r="C23" s="15">
        <v>4020.0</v>
      </c>
      <c r="D23" s="15">
        <v>3831.300049</v>
      </c>
      <c r="E23" s="15">
        <v>4002.949951</v>
      </c>
      <c r="F23" s="15">
        <v>3951.685791</v>
      </c>
      <c r="G23" s="15">
        <v>573811.0</v>
      </c>
      <c r="H23" s="19">
        <f t="shared" si="1"/>
        <v>0.04619465848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>
        <v>44377.0</v>
      </c>
      <c r="B24" s="15">
        <v>4039.0</v>
      </c>
      <c r="C24" s="15">
        <v>4350.0</v>
      </c>
      <c r="D24" s="15">
        <v>4033.100098</v>
      </c>
      <c r="E24" s="15">
        <v>4304.299805</v>
      </c>
      <c r="F24" s="15">
        <v>4249.176758</v>
      </c>
      <c r="G24" s="15">
        <v>1003399.0</v>
      </c>
      <c r="H24" s="19">
        <f t="shared" si="1"/>
        <v>0.07528194399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>
        <v>44378.0</v>
      </c>
      <c r="B25" s="15">
        <v>4375.299805</v>
      </c>
      <c r="C25" s="15">
        <v>4410.0</v>
      </c>
      <c r="D25" s="15">
        <v>4165.0</v>
      </c>
      <c r="E25" s="15">
        <v>4243.75</v>
      </c>
      <c r="F25" s="15">
        <v>4189.401855</v>
      </c>
      <c r="G25" s="15">
        <v>497942.0</v>
      </c>
      <c r="H25" s="19">
        <f t="shared" si="1"/>
        <v>-0.01406728335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44379.0</v>
      </c>
      <c r="B26" s="15">
        <v>4260.0</v>
      </c>
      <c r="C26" s="15">
        <v>4455.0</v>
      </c>
      <c r="D26" s="15">
        <v>4260.0</v>
      </c>
      <c r="E26" s="15">
        <v>4429.549805</v>
      </c>
      <c r="F26" s="15">
        <v>4372.822754</v>
      </c>
      <c r="G26" s="15">
        <v>434335.0</v>
      </c>
      <c r="H26" s="19">
        <f t="shared" si="1"/>
        <v>0.04378198645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>
        <v>44382.0</v>
      </c>
      <c r="B27" s="15">
        <v>4436.0</v>
      </c>
      <c r="C27" s="15">
        <v>4465.450195</v>
      </c>
      <c r="D27" s="15">
        <v>4346.299805</v>
      </c>
      <c r="E27" s="15">
        <v>4379.049805</v>
      </c>
      <c r="F27" s="15">
        <v>4322.969238</v>
      </c>
      <c r="G27" s="15">
        <v>230460.0</v>
      </c>
      <c r="H27" s="19">
        <f t="shared" si="1"/>
        <v>-0.01140070712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>
        <v>44383.0</v>
      </c>
      <c r="B28" s="15">
        <v>4390.600098</v>
      </c>
      <c r="C28" s="15">
        <v>4394.899902</v>
      </c>
      <c r="D28" s="15">
        <v>4285.0</v>
      </c>
      <c r="E28" s="15">
        <v>4312.25</v>
      </c>
      <c r="F28" s="15">
        <v>4257.024902</v>
      </c>
      <c r="G28" s="15">
        <v>151510.0</v>
      </c>
      <c r="H28" s="19">
        <f t="shared" si="1"/>
        <v>-0.01525440632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44384.0</v>
      </c>
      <c r="B29" s="15">
        <v>4336.200195</v>
      </c>
      <c r="C29" s="15">
        <v>4336.299805</v>
      </c>
      <c r="D29" s="15">
        <v>4222.25</v>
      </c>
      <c r="E29" s="15">
        <v>4246.600098</v>
      </c>
      <c r="F29" s="15">
        <v>4192.21582</v>
      </c>
      <c r="G29" s="15">
        <v>169673.0</v>
      </c>
      <c r="H29" s="19">
        <f t="shared" si="1"/>
        <v>-0.01522404823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>
        <v>44385.0</v>
      </c>
      <c r="B30" s="15">
        <v>4268.0</v>
      </c>
      <c r="C30" s="15">
        <v>4278.799805</v>
      </c>
      <c r="D30" s="15">
        <v>4180.100098</v>
      </c>
      <c r="E30" s="15">
        <v>4199.0</v>
      </c>
      <c r="F30" s="15">
        <v>4145.225586</v>
      </c>
      <c r="G30" s="15">
        <v>118199.0</v>
      </c>
      <c r="H30" s="19">
        <f t="shared" si="1"/>
        <v>-0.01120898999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44386.0</v>
      </c>
      <c r="B31" s="15">
        <v>4200.0</v>
      </c>
      <c r="C31" s="15">
        <v>4350.799805</v>
      </c>
      <c r="D31" s="15">
        <v>4191.700195</v>
      </c>
      <c r="E31" s="15">
        <v>4295.399902</v>
      </c>
      <c r="F31" s="15">
        <v>4240.390625</v>
      </c>
      <c r="G31" s="15">
        <v>213143.0</v>
      </c>
      <c r="H31" s="19">
        <f t="shared" si="1"/>
        <v>0.02295782377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>
        <v>44389.0</v>
      </c>
      <c r="B32" s="15">
        <v>4322.0</v>
      </c>
      <c r="C32" s="15">
        <v>4367.75</v>
      </c>
      <c r="D32" s="15">
        <v>4310.0</v>
      </c>
      <c r="E32" s="15">
        <v>4337.450195</v>
      </c>
      <c r="F32" s="15">
        <v>4281.902344</v>
      </c>
      <c r="G32" s="15">
        <v>136439.0</v>
      </c>
      <c r="H32" s="19">
        <f t="shared" si="1"/>
        <v>0.009789610737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44390.0</v>
      </c>
      <c r="B33" s="15">
        <v>4370.600098</v>
      </c>
      <c r="C33" s="15">
        <v>4372.950195</v>
      </c>
      <c r="D33" s="15">
        <v>4291.0</v>
      </c>
      <c r="E33" s="15">
        <v>4307.649902</v>
      </c>
      <c r="F33" s="15">
        <v>4252.483887</v>
      </c>
      <c r="G33" s="15">
        <v>161224.0</v>
      </c>
      <c r="H33" s="19">
        <f t="shared" si="1"/>
        <v>-0.006870463443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>
        <v>44391.0</v>
      </c>
      <c r="B34" s="15">
        <v>4312.0</v>
      </c>
      <c r="C34" s="15">
        <v>4419.200195</v>
      </c>
      <c r="D34" s="15">
        <v>4312.0</v>
      </c>
      <c r="E34" s="15">
        <v>4371.799805</v>
      </c>
      <c r="F34" s="15">
        <v>4315.812012</v>
      </c>
      <c r="G34" s="15">
        <v>207777.0</v>
      </c>
      <c r="H34" s="19">
        <f t="shared" si="1"/>
        <v>0.01489208837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>
        <v>44392.0</v>
      </c>
      <c r="B35" s="15">
        <v>4419.0</v>
      </c>
      <c r="C35" s="15">
        <v>4575.0</v>
      </c>
      <c r="D35" s="15">
        <v>4402.75</v>
      </c>
      <c r="E35" s="15">
        <v>4487.100098</v>
      </c>
      <c r="F35" s="15">
        <v>4429.635742</v>
      </c>
      <c r="G35" s="15">
        <v>382778.0</v>
      </c>
      <c r="H35" s="19">
        <f t="shared" si="1"/>
        <v>0.0263736443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>
        <v>44393.0</v>
      </c>
      <c r="B36" s="15">
        <v>4390.0</v>
      </c>
      <c r="C36" s="15">
        <v>4470.0</v>
      </c>
      <c r="D36" s="15">
        <v>4290.0</v>
      </c>
      <c r="E36" s="15">
        <v>4302.649902</v>
      </c>
      <c r="F36" s="15">
        <v>4247.547852</v>
      </c>
      <c r="G36" s="15">
        <v>549805.0</v>
      </c>
      <c r="H36" s="19">
        <f t="shared" si="1"/>
        <v>-0.04110677096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>
        <v>44396.0</v>
      </c>
      <c r="B37" s="15">
        <v>4303.0</v>
      </c>
      <c r="C37" s="15">
        <v>4347.350098</v>
      </c>
      <c r="D37" s="15">
        <v>4211.0</v>
      </c>
      <c r="E37" s="15">
        <v>4223.350098</v>
      </c>
      <c r="F37" s="15">
        <v>4169.263672</v>
      </c>
      <c r="G37" s="15">
        <v>245690.0</v>
      </c>
      <c r="H37" s="19">
        <f t="shared" si="1"/>
        <v>-0.018430457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44397.0</v>
      </c>
      <c r="B38" s="15">
        <v>4240.0</v>
      </c>
      <c r="C38" s="15">
        <v>4296.200195</v>
      </c>
      <c r="D38" s="15">
        <v>4107.049805</v>
      </c>
      <c r="E38" s="15">
        <v>4190.350098</v>
      </c>
      <c r="F38" s="15">
        <v>4136.686035</v>
      </c>
      <c r="G38" s="15">
        <v>180627.0</v>
      </c>
      <c r="H38" s="19">
        <f t="shared" si="1"/>
        <v>-0.007813702211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44399.0</v>
      </c>
      <c r="B39" s="15">
        <v>4238.0</v>
      </c>
      <c r="C39" s="15">
        <v>4289.25</v>
      </c>
      <c r="D39" s="15">
        <v>4230.0</v>
      </c>
      <c r="E39" s="15">
        <v>4246.600098</v>
      </c>
      <c r="F39" s="15">
        <v>4192.21582</v>
      </c>
      <c r="G39" s="15">
        <v>95794.0</v>
      </c>
      <c r="H39" s="19">
        <f t="shared" si="1"/>
        <v>0.01342369938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44400.0</v>
      </c>
      <c r="B40" s="15">
        <v>4293.0</v>
      </c>
      <c r="C40" s="15">
        <v>4295.950195</v>
      </c>
      <c r="D40" s="15">
        <v>4237.399902</v>
      </c>
      <c r="E40" s="15">
        <v>4249.299805</v>
      </c>
      <c r="F40" s="15">
        <v>4194.880859</v>
      </c>
      <c r="G40" s="15">
        <v>111285.0</v>
      </c>
      <c r="H40" s="19">
        <f t="shared" si="1"/>
        <v>0.0006357337488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44403.0</v>
      </c>
      <c r="B41" s="15">
        <v>4262.75</v>
      </c>
      <c r="C41" s="15">
        <v>4269.0</v>
      </c>
      <c r="D41" s="15">
        <v>4190.0</v>
      </c>
      <c r="E41" s="15">
        <v>4199.100098</v>
      </c>
      <c r="F41" s="15">
        <v>4145.32373</v>
      </c>
      <c r="G41" s="15">
        <v>121862.0</v>
      </c>
      <c r="H41" s="19">
        <f t="shared" si="1"/>
        <v>-0.01181364208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>
        <v>44404.0</v>
      </c>
      <c r="B42" s="15">
        <v>4224.0</v>
      </c>
      <c r="C42" s="15">
        <v>4239.950195</v>
      </c>
      <c r="D42" s="15">
        <v>4150.049805</v>
      </c>
      <c r="E42" s="15">
        <v>4175.75</v>
      </c>
      <c r="F42" s="15">
        <v>4122.272949</v>
      </c>
      <c r="G42" s="15">
        <v>69128.0</v>
      </c>
      <c r="H42" s="19">
        <f t="shared" si="1"/>
        <v>-0.0055607386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>
        <v>44405.0</v>
      </c>
      <c r="B43" s="15">
        <v>4188.0</v>
      </c>
      <c r="C43" s="15">
        <v>4220.0</v>
      </c>
      <c r="D43" s="15">
        <v>4152.850098</v>
      </c>
      <c r="E43" s="15">
        <v>4177.0</v>
      </c>
      <c r="F43" s="15">
        <v>4123.506836</v>
      </c>
      <c r="G43" s="15">
        <v>104560.0</v>
      </c>
      <c r="H43" s="19">
        <f t="shared" si="1"/>
        <v>0.0002993474226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>
        <v>44406.0</v>
      </c>
      <c r="B44" s="15">
        <v>4216.0</v>
      </c>
      <c r="C44" s="15">
        <v>4288.299805</v>
      </c>
      <c r="D44" s="15">
        <v>4190.549805</v>
      </c>
      <c r="E44" s="15">
        <v>4276.950195</v>
      </c>
      <c r="F44" s="15">
        <v>4222.177246</v>
      </c>
      <c r="G44" s="15">
        <v>149624.0</v>
      </c>
      <c r="H44" s="19">
        <f t="shared" si="1"/>
        <v>0.02392870362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>
        <v>44407.0</v>
      </c>
      <c r="B45" s="15">
        <v>4290.0</v>
      </c>
      <c r="C45" s="15">
        <v>4295.0</v>
      </c>
      <c r="D45" s="15">
        <v>4205.5</v>
      </c>
      <c r="E45" s="15">
        <v>4225.899902</v>
      </c>
      <c r="F45" s="15">
        <v>4171.780273</v>
      </c>
      <c r="G45" s="15">
        <v>106288.0</v>
      </c>
      <c r="H45" s="19">
        <f t="shared" si="1"/>
        <v>-0.0119361439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>
        <v>44410.0</v>
      </c>
      <c r="B46" s="15">
        <v>4264.0</v>
      </c>
      <c r="C46" s="15">
        <v>4264.200195</v>
      </c>
      <c r="D46" s="15">
        <v>4210.100098</v>
      </c>
      <c r="E46" s="15">
        <v>4222.799805</v>
      </c>
      <c r="F46" s="15">
        <v>4168.720215</v>
      </c>
      <c r="G46" s="15">
        <v>70906.0</v>
      </c>
      <c r="H46" s="19">
        <f t="shared" si="1"/>
        <v>-0.0007335945176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>
        <v>44411.0</v>
      </c>
      <c r="B47" s="15">
        <v>4220.049805</v>
      </c>
      <c r="C47" s="15">
        <v>4373.200195</v>
      </c>
      <c r="D47" s="15">
        <v>4220.049805</v>
      </c>
      <c r="E47" s="15">
        <v>4320.899902</v>
      </c>
      <c r="F47" s="15">
        <v>4265.563965</v>
      </c>
      <c r="G47" s="15">
        <v>184955.0</v>
      </c>
      <c r="H47" s="19">
        <f t="shared" si="1"/>
        <v>0.02323105559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>
        <v>44412.0</v>
      </c>
      <c r="B48" s="15">
        <v>4349.5</v>
      </c>
      <c r="C48" s="15">
        <v>4350.0</v>
      </c>
      <c r="D48" s="15">
        <v>4220.899902</v>
      </c>
      <c r="E48" s="15">
        <v>4251.350098</v>
      </c>
      <c r="F48" s="15">
        <v>4196.904785</v>
      </c>
      <c r="G48" s="15">
        <v>81134.0</v>
      </c>
      <c r="H48" s="19">
        <f t="shared" si="1"/>
        <v>-0.01609613867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>
        <v>44413.0</v>
      </c>
      <c r="B49" s="15">
        <v>4273.200195</v>
      </c>
      <c r="C49" s="15">
        <v>4288.950195</v>
      </c>
      <c r="D49" s="15">
        <v>4190.0</v>
      </c>
      <c r="E49" s="15">
        <v>4264.549805</v>
      </c>
      <c r="F49" s="15">
        <v>4209.935547</v>
      </c>
      <c r="G49" s="15">
        <v>96510.0</v>
      </c>
      <c r="H49" s="19">
        <f t="shared" si="1"/>
        <v>0.003104827101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>
        <v>44414.0</v>
      </c>
      <c r="B50" s="15">
        <v>4264.0</v>
      </c>
      <c r="C50" s="15">
        <v>4264.0</v>
      </c>
      <c r="D50" s="15">
        <v>4220.0</v>
      </c>
      <c r="E50" s="15">
        <v>4229.450195</v>
      </c>
      <c r="F50" s="15">
        <v>4175.285645</v>
      </c>
      <c r="G50" s="15">
        <v>59698.0</v>
      </c>
      <c r="H50" s="19">
        <f t="shared" si="1"/>
        <v>-0.008230554597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>
        <v>44417.0</v>
      </c>
      <c r="B51" s="15">
        <v>4248.799805</v>
      </c>
      <c r="C51" s="15">
        <v>4340.049805</v>
      </c>
      <c r="D51" s="15">
        <v>4231.049805</v>
      </c>
      <c r="E51" s="15">
        <v>4268.299805</v>
      </c>
      <c r="F51" s="15">
        <v>4213.637207</v>
      </c>
      <c r="G51" s="15">
        <v>99732.0</v>
      </c>
      <c r="H51" s="19">
        <f t="shared" si="1"/>
        <v>0.009185498873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>
        <v>44418.0</v>
      </c>
      <c r="B52" s="15">
        <v>4291.0</v>
      </c>
      <c r="C52" s="15">
        <v>4333.549805</v>
      </c>
      <c r="D52" s="15">
        <v>4195.0</v>
      </c>
      <c r="E52" s="15">
        <v>4238.600098</v>
      </c>
      <c r="F52" s="15">
        <v>4184.318359</v>
      </c>
      <c r="G52" s="15">
        <v>107261.0</v>
      </c>
      <c r="H52" s="19">
        <f t="shared" si="1"/>
        <v>-0.006958205458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>
        <v>44419.0</v>
      </c>
      <c r="B53" s="15">
        <v>4259.0</v>
      </c>
      <c r="C53" s="15">
        <v>4259.0</v>
      </c>
      <c r="D53" s="15">
        <v>4110.0</v>
      </c>
      <c r="E53" s="15">
        <v>4195.299805</v>
      </c>
      <c r="F53" s="15">
        <v>4141.572266</v>
      </c>
      <c r="G53" s="15">
        <v>141010.0</v>
      </c>
      <c r="H53" s="19">
        <f t="shared" si="1"/>
        <v>-0.01021570613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>
        <v>44420.0</v>
      </c>
      <c r="B54" s="15">
        <v>4208.200195</v>
      </c>
      <c r="C54" s="15">
        <v>4329.0</v>
      </c>
      <c r="D54" s="15">
        <v>4203.100098</v>
      </c>
      <c r="E54" s="15">
        <v>4293.600098</v>
      </c>
      <c r="F54" s="15">
        <v>4238.61377</v>
      </c>
      <c r="G54" s="15">
        <v>118095.0</v>
      </c>
      <c r="H54" s="19">
        <f t="shared" si="1"/>
        <v>0.02343105322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>
        <v>44421.0</v>
      </c>
      <c r="B55" s="15">
        <v>4303.0</v>
      </c>
      <c r="C55" s="15">
        <v>4386.0</v>
      </c>
      <c r="D55" s="15">
        <v>4260.549805</v>
      </c>
      <c r="E55" s="15">
        <v>4329.100098</v>
      </c>
      <c r="F55" s="15">
        <v>4273.65918</v>
      </c>
      <c r="G55" s="15">
        <v>186542.0</v>
      </c>
      <c r="H55" s="19">
        <f t="shared" si="1"/>
        <v>0.008268119804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>
        <v>44424.0</v>
      </c>
      <c r="B56" s="15">
        <v>4347.0</v>
      </c>
      <c r="C56" s="15">
        <v>4435.0</v>
      </c>
      <c r="D56" s="15">
        <v>4291.450195</v>
      </c>
      <c r="E56" s="15">
        <v>4403.850098</v>
      </c>
      <c r="F56" s="15">
        <v>4347.452148</v>
      </c>
      <c r="G56" s="15">
        <v>230004.0</v>
      </c>
      <c r="H56" s="19">
        <f t="shared" si="1"/>
        <v>0.01726686801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>
        <v>44425.0</v>
      </c>
      <c r="B57" s="15">
        <v>4440.600098</v>
      </c>
      <c r="C57" s="15">
        <v>4780.0</v>
      </c>
      <c r="D57" s="15">
        <v>4428.850098</v>
      </c>
      <c r="E57" s="15">
        <v>4715.25</v>
      </c>
      <c r="F57" s="15">
        <v>4654.86377</v>
      </c>
      <c r="G57" s="15">
        <v>1022547.0</v>
      </c>
      <c r="H57" s="19">
        <f t="shared" si="1"/>
        <v>0.07071083145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>
        <v>44426.0</v>
      </c>
      <c r="B58" s="15">
        <v>4732.0</v>
      </c>
      <c r="C58" s="15">
        <v>4795.0</v>
      </c>
      <c r="D58" s="15">
        <v>4575.0</v>
      </c>
      <c r="E58" s="15">
        <v>4722.200195</v>
      </c>
      <c r="F58" s="15">
        <v>4661.725098</v>
      </c>
      <c r="G58" s="15">
        <v>295935.0</v>
      </c>
      <c r="H58" s="19">
        <f t="shared" si="1"/>
        <v>0.001473982292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>
        <v>44428.0</v>
      </c>
      <c r="B59" s="15">
        <v>4699.0</v>
      </c>
      <c r="C59" s="15">
        <v>4852.950195</v>
      </c>
      <c r="D59" s="15">
        <v>4625.0</v>
      </c>
      <c r="E59" s="15">
        <v>4732.600098</v>
      </c>
      <c r="F59" s="15">
        <v>4671.991699</v>
      </c>
      <c r="G59" s="15">
        <v>264202.0</v>
      </c>
      <c r="H59" s="19">
        <f t="shared" si="1"/>
        <v>0.002202342673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>
        <v>44431.0</v>
      </c>
      <c r="B60" s="15">
        <v>4756.799805</v>
      </c>
      <c r="C60" s="15">
        <v>4779.899902</v>
      </c>
      <c r="D60" s="15">
        <v>4631.549805</v>
      </c>
      <c r="E60" s="15">
        <v>4685.299805</v>
      </c>
      <c r="F60" s="15">
        <v>4625.297363</v>
      </c>
      <c r="G60" s="15">
        <v>151556.0</v>
      </c>
      <c r="H60" s="19">
        <f t="shared" si="1"/>
        <v>-0.009994567895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>
        <v>44432.0</v>
      </c>
      <c r="B61" s="15">
        <v>4689.0</v>
      </c>
      <c r="C61" s="15">
        <v>4774.0</v>
      </c>
      <c r="D61" s="15">
        <v>4601.100098</v>
      </c>
      <c r="E61" s="15">
        <v>4745.899902</v>
      </c>
      <c r="F61" s="15">
        <v>4685.121582</v>
      </c>
      <c r="G61" s="15">
        <v>156979.0</v>
      </c>
      <c r="H61" s="19">
        <f t="shared" si="1"/>
        <v>0.01293409163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>
        <v>44433.0</v>
      </c>
      <c r="B62" s="15">
        <v>4765.0</v>
      </c>
      <c r="C62" s="15">
        <v>4949.0</v>
      </c>
      <c r="D62" s="15">
        <v>4756.0</v>
      </c>
      <c r="E62" s="15">
        <v>4810.049805</v>
      </c>
      <c r="F62" s="15">
        <v>4748.449707</v>
      </c>
      <c r="G62" s="15">
        <v>270608.0</v>
      </c>
      <c r="H62" s="19">
        <f t="shared" si="1"/>
        <v>0.01351691024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>
        <v>44434.0</v>
      </c>
      <c r="B63" s="15">
        <v>4830.0</v>
      </c>
      <c r="C63" s="15">
        <v>4924.0</v>
      </c>
      <c r="D63" s="15">
        <v>4811.149902</v>
      </c>
      <c r="E63" s="15">
        <v>4861.600098</v>
      </c>
      <c r="F63" s="15">
        <v>4799.339844</v>
      </c>
      <c r="G63" s="15">
        <v>136051.0</v>
      </c>
      <c r="H63" s="19">
        <f t="shared" si="1"/>
        <v>0.01071720566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>
        <v>44435.0</v>
      </c>
      <c r="B64" s="15">
        <v>4861.600098</v>
      </c>
      <c r="C64" s="15">
        <v>4926.5</v>
      </c>
      <c r="D64" s="15">
        <v>4793.0</v>
      </c>
      <c r="E64" s="15">
        <v>4868.649902</v>
      </c>
      <c r="F64" s="15">
        <v>4806.299316</v>
      </c>
      <c r="G64" s="15">
        <v>124341.0</v>
      </c>
      <c r="H64" s="19">
        <f t="shared" si="1"/>
        <v>0.001450099526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>
        <v>44438.0</v>
      </c>
      <c r="B65" s="15">
        <v>4906.0</v>
      </c>
      <c r="C65" s="15">
        <v>4912.450195</v>
      </c>
      <c r="D65" s="15">
        <v>4800.0</v>
      </c>
      <c r="E65" s="15">
        <v>4826.75</v>
      </c>
      <c r="F65" s="15">
        <v>4764.936035</v>
      </c>
      <c r="G65" s="15">
        <v>137887.0</v>
      </c>
      <c r="H65" s="19">
        <f t="shared" si="1"/>
        <v>-0.008606061812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>
        <v>44439.0</v>
      </c>
      <c r="B66" s="15">
        <v>4840.0</v>
      </c>
      <c r="C66" s="15">
        <v>4860.0</v>
      </c>
      <c r="D66" s="15">
        <v>4750.0</v>
      </c>
      <c r="E66" s="15">
        <v>4770.950195</v>
      </c>
      <c r="F66" s="15">
        <v>4709.850586</v>
      </c>
      <c r="G66" s="15">
        <v>137157.0</v>
      </c>
      <c r="H66" s="19">
        <f t="shared" si="1"/>
        <v>-0.01156053349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>
        <v>44440.0</v>
      </c>
      <c r="B67" s="15">
        <v>4800.0</v>
      </c>
      <c r="C67" s="15">
        <v>4900.0</v>
      </c>
      <c r="D67" s="15">
        <v>4800.0</v>
      </c>
      <c r="E67" s="15">
        <v>4848.5</v>
      </c>
      <c r="F67" s="15">
        <v>4786.407227</v>
      </c>
      <c r="G67" s="15">
        <v>129752.0</v>
      </c>
      <c r="H67" s="19">
        <f t="shared" si="1"/>
        <v>0.0162545828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>
        <v>44441.0</v>
      </c>
      <c r="B68" s="15">
        <v>4874.0</v>
      </c>
      <c r="C68" s="15">
        <v>4977.0</v>
      </c>
      <c r="D68" s="15">
        <v>4832.0</v>
      </c>
      <c r="E68" s="15">
        <v>4922.899902</v>
      </c>
      <c r="F68" s="15">
        <v>4859.854492</v>
      </c>
      <c r="G68" s="15">
        <v>175023.0</v>
      </c>
      <c r="H68" s="19">
        <f t="shared" si="1"/>
        <v>0.01534493183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>
        <v>44442.0</v>
      </c>
      <c r="B69" s="15">
        <v>4945.0</v>
      </c>
      <c r="C69" s="15">
        <v>4970.0</v>
      </c>
      <c r="D69" s="15">
        <v>4856.899902</v>
      </c>
      <c r="E69" s="15">
        <v>4886.0</v>
      </c>
      <c r="F69" s="15">
        <v>4823.427246</v>
      </c>
      <c r="G69" s="15">
        <v>127507.0</v>
      </c>
      <c r="H69" s="19">
        <f t="shared" si="1"/>
        <v>-0.007495562115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>
        <v>44445.0</v>
      </c>
      <c r="B70" s="15">
        <v>4899.0</v>
      </c>
      <c r="C70" s="15">
        <v>4910.450195</v>
      </c>
      <c r="D70" s="15">
        <v>4827.0</v>
      </c>
      <c r="E70" s="15">
        <v>4876.299805</v>
      </c>
      <c r="F70" s="15">
        <v>4813.851074</v>
      </c>
      <c r="G70" s="15">
        <v>77586.0</v>
      </c>
      <c r="H70" s="19">
        <f t="shared" si="1"/>
        <v>-0.00198530393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>
        <v>44446.0</v>
      </c>
      <c r="B71" s="15">
        <v>4887.799805</v>
      </c>
      <c r="C71" s="15">
        <v>5015.850098</v>
      </c>
      <c r="D71" s="15">
        <v>4861.399902</v>
      </c>
      <c r="E71" s="15">
        <v>4919.5</v>
      </c>
      <c r="F71" s="15">
        <v>4856.498047</v>
      </c>
      <c r="G71" s="15">
        <v>282529.0</v>
      </c>
      <c r="H71" s="19">
        <f t="shared" si="1"/>
        <v>0.008859216358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>
        <v>44447.0</v>
      </c>
      <c r="B72" s="15">
        <v>4920.0</v>
      </c>
      <c r="C72" s="15">
        <v>4920.0</v>
      </c>
      <c r="D72" s="15">
        <v>4821.149902</v>
      </c>
      <c r="E72" s="15">
        <v>4864.600098</v>
      </c>
      <c r="F72" s="15">
        <v>4802.30127</v>
      </c>
      <c r="G72" s="15">
        <v>122544.0</v>
      </c>
      <c r="H72" s="19">
        <f t="shared" si="1"/>
        <v>-0.01115965078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>
        <v>44448.0</v>
      </c>
      <c r="B73" s="15">
        <v>4876.799805</v>
      </c>
      <c r="C73" s="15">
        <v>4955.0</v>
      </c>
      <c r="D73" s="15">
        <v>4851.0</v>
      </c>
      <c r="E73" s="15">
        <v>4928.75</v>
      </c>
      <c r="F73" s="15">
        <v>4865.629395</v>
      </c>
      <c r="G73" s="15">
        <v>143361.0</v>
      </c>
      <c r="H73" s="19">
        <f t="shared" si="1"/>
        <v>0.01318708644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>
        <v>44452.0</v>
      </c>
      <c r="B74" s="15">
        <v>4951.0</v>
      </c>
      <c r="C74" s="15">
        <v>5072.0</v>
      </c>
      <c r="D74" s="15">
        <v>4935.0</v>
      </c>
      <c r="E74" s="15">
        <v>5009.299805</v>
      </c>
      <c r="F74" s="15">
        <v>4945.147949</v>
      </c>
      <c r="G74" s="15">
        <v>205324.0</v>
      </c>
      <c r="H74" s="19">
        <f t="shared" si="1"/>
        <v>0.01634284656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>
        <v>44453.0</v>
      </c>
      <c r="B75" s="15">
        <v>5018.0</v>
      </c>
      <c r="C75" s="15">
        <v>5057.899902</v>
      </c>
      <c r="D75" s="15">
        <v>4970.0</v>
      </c>
      <c r="E75" s="15">
        <v>4987.0</v>
      </c>
      <c r="F75" s="15">
        <v>4923.133301</v>
      </c>
      <c r="G75" s="15">
        <v>147811.0</v>
      </c>
      <c r="H75" s="19">
        <f t="shared" si="1"/>
        <v>-0.004451681047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>
        <v>44454.0</v>
      </c>
      <c r="B76" s="15">
        <v>5007.399902</v>
      </c>
      <c r="C76" s="15">
        <v>5248.5</v>
      </c>
      <c r="D76" s="15">
        <v>5005.0</v>
      </c>
      <c r="E76" s="15">
        <v>5113.399902</v>
      </c>
      <c r="F76" s="15">
        <v>5047.915039</v>
      </c>
      <c r="G76" s="15">
        <v>485270.0</v>
      </c>
      <c r="H76" s="19">
        <f t="shared" si="1"/>
        <v>0.02534587969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>
        <v>44455.0</v>
      </c>
      <c r="B77" s="15">
        <v>5140.0</v>
      </c>
      <c r="C77" s="15">
        <v>5200.0</v>
      </c>
      <c r="D77" s="15">
        <v>5115.0</v>
      </c>
      <c r="E77" s="15">
        <v>5153.600098</v>
      </c>
      <c r="F77" s="15">
        <v>5087.600098</v>
      </c>
      <c r="G77" s="15">
        <v>140731.0</v>
      </c>
      <c r="H77" s="19">
        <f t="shared" si="1"/>
        <v>0.0078617352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>
        <v>44456.0</v>
      </c>
      <c r="B78" s="15">
        <v>5184.0</v>
      </c>
      <c r="C78" s="15">
        <v>5600.0</v>
      </c>
      <c r="D78" s="15">
        <v>5184.0</v>
      </c>
      <c r="E78" s="15">
        <v>5490.649902</v>
      </c>
      <c r="F78" s="15">
        <v>5420.333496</v>
      </c>
      <c r="G78" s="15">
        <v>577393.0</v>
      </c>
      <c r="H78" s="19">
        <f t="shared" si="1"/>
        <v>0.06540084554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>
        <v>44459.0</v>
      </c>
      <c r="B79" s="15">
        <v>5470.0</v>
      </c>
      <c r="C79" s="15">
        <v>5955.0</v>
      </c>
      <c r="D79" s="15">
        <v>5352.299805</v>
      </c>
      <c r="E79" s="15">
        <v>5831.700195</v>
      </c>
      <c r="F79" s="15">
        <v>5757.016113</v>
      </c>
      <c r="G79" s="15">
        <v>730123.0</v>
      </c>
      <c r="H79" s="19">
        <f t="shared" si="1"/>
        <v>0.06211474035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>
        <v>44460.0</v>
      </c>
      <c r="B80" s="15">
        <v>5889.950195</v>
      </c>
      <c r="C80" s="15">
        <v>5949.0</v>
      </c>
      <c r="D80" s="15">
        <v>5461.649902</v>
      </c>
      <c r="E80" s="15">
        <v>5619.950195</v>
      </c>
      <c r="F80" s="15">
        <v>5547.977539</v>
      </c>
      <c r="G80" s="15">
        <v>614214.0</v>
      </c>
      <c r="H80" s="19">
        <f t="shared" si="1"/>
        <v>-0.03631016563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8">
        <v>44461.0</v>
      </c>
      <c r="B81" s="15">
        <v>5668.799805</v>
      </c>
      <c r="C81" s="15">
        <v>5699.0</v>
      </c>
      <c r="D81" s="15">
        <v>5553.049805</v>
      </c>
      <c r="E81" s="15">
        <v>5580.149902</v>
      </c>
      <c r="F81" s="15">
        <v>5508.6875</v>
      </c>
      <c r="G81" s="15">
        <v>246188.0</v>
      </c>
      <c r="H81" s="19">
        <f t="shared" si="1"/>
        <v>-0.00708196543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8">
        <v>44462.0</v>
      </c>
      <c r="B82" s="15">
        <v>5630.0</v>
      </c>
      <c r="C82" s="15">
        <v>5888.0</v>
      </c>
      <c r="D82" s="15">
        <v>5582.0</v>
      </c>
      <c r="E82" s="15">
        <v>5726.799805</v>
      </c>
      <c r="F82" s="15">
        <v>5653.459473</v>
      </c>
      <c r="G82" s="15">
        <v>375994.0</v>
      </c>
      <c r="H82" s="19">
        <f t="shared" si="1"/>
        <v>0.02628063862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8">
        <v>44463.0</v>
      </c>
      <c r="B83" s="15">
        <v>5764.700195</v>
      </c>
      <c r="C83" s="15">
        <v>5971.899902</v>
      </c>
      <c r="D83" s="15">
        <v>5733.0</v>
      </c>
      <c r="E83" s="15">
        <v>5866.950195</v>
      </c>
      <c r="F83" s="15">
        <v>5791.814453</v>
      </c>
      <c r="G83" s="15">
        <v>318392.0</v>
      </c>
      <c r="H83" s="19">
        <f t="shared" si="1"/>
        <v>0.02447272382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8">
        <v>44466.0</v>
      </c>
      <c r="B84" s="15">
        <v>5923.799805</v>
      </c>
      <c r="C84" s="15">
        <v>5951.0</v>
      </c>
      <c r="D84" s="15">
        <v>5691.049805</v>
      </c>
      <c r="E84" s="15">
        <v>5720.899902</v>
      </c>
      <c r="F84" s="15">
        <v>5647.634766</v>
      </c>
      <c r="G84" s="15">
        <v>234408.0</v>
      </c>
      <c r="H84" s="19">
        <f t="shared" si="1"/>
        <v>-0.02489373323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8">
        <v>44467.0</v>
      </c>
      <c r="B85" s="15">
        <v>5752.5</v>
      </c>
      <c r="C85" s="15">
        <v>5832.0</v>
      </c>
      <c r="D85" s="15">
        <v>5555.549805</v>
      </c>
      <c r="E85" s="15">
        <v>5665.649902</v>
      </c>
      <c r="F85" s="15">
        <v>5593.092285</v>
      </c>
      <c r="G85" s="15">
        <v>233310.0</v>
      </c>
      <c r="H85" s="19">
        <f t="shared" si="1"/>
        <v>-0.009657571527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8">
        <v>44468.0</v>
      </c>
      <c r="B86" s="15">
        <v>5645.0</v>
      </c>
      <c r="C86" s="15">
        <v>5684.0</v>
      </c>
      <c r="D86" s="15">
        <v>5563.75</v>
      </c>
      <c r="E86" s="15">
        <v>5597.75</v>
      </c>
      <c r="F86" s="15">
        <v>5526.062012</v>
      </c>
      <c r="G86" s="15">
        <v>132221.0</v>
      </c>
      <c r="H86" s="19">
        <f t="shared" si="1"/>
        <v>-0.01198448601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8">
        <v>44469.0</v>
      </c>
      <c r="B87" s="15">
        <v>5627.049805</v>
      </c>
      <c r="C87" s="15">
        <v>5668.0</v>
      </c>
      <c r="D87" s="15">
        <v>5580.0</v>
      </c>
      <c r="E87" s="15">
        <v>5594.049805</v>
      </c>
      <c r="F87" s="15">
        <v>5522.40918</v>
      </c>
      <c r="G87" s="15">
        <v>144992.0</v>
      </c>
      <c r="H87" s="19">
        <f t="shared" si="1"/>
        <v>-0.0006610146934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>
        <v>44470.0</v>
      </c>
      <c r="B88" s="15">
        <v>5594.0</v>
      </c>
      <c r="C88" s="15">
        <v>5824.600098</v>
      </c>
      <c r="D88" s="15">
        <v>5594.0</v>
      </c>
      <c r="E88" s="15">
        <v>5782.799805</v>
      </c>
      <c r="F88" s="15">
        <v>5708.741699</v>
      </c>
      <c r="G88" s="15">
        <v>195617.0</v>
      </c>
      <c r="H88" s="19">
        <f t="shared" si="1"/>
        <v>0.03374120835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8">
        <v>44473.0</v>
      </c>
      <c r="B89" s="15">
        <v>5818.0</v>
      </c>
      <c r="C89" s="15">
        <v>5938.0</v>
      </c>
      <c r="D89" s="15">
        <v>5801.0</v>
      </c>
      <c r="E89" s="15">
        <v>5889.600098</v>
      </c>
      <c r="F89" s="15">
        <v>5814.174316</v>
      </c>
      <c r="G89" s="15">
        <v>212879.0</v>
      </c>
      <c r="H89" s="19">
        <f t="shared" si="1"/>
        <v>0.01846861323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8">
        <v>44474.0</v>
      </c>
      <c r="B90" s="15">
        <v>5895.0</v>
      </c>
      <c r="C90" s="15">
        <v>5926.950195</v>
      </c>
      <c r="D90" s="15">
        <v>5790.0</v>
      </c>
      <c r="E90" s="15">
        <v>5840.149902</v>
      </c>
      <c r="F90" s="15">
        <v>5765.357422</v>
      </c>
      <c r="G90" s="15">
        <v>194416.0</v>
      </c>
      <c r="H90" s="19">
        <f t="shared" si="1"/>
        <v>-0.008396189075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8">
        <v>44475.0</v>
      </c>
      <c r="B91" s="15">
        <v>5868.0</v>
      </c>
      <c r="C91" s="15">
        <v>6277.0</v>
      </c>
      <c r="D91" s="15">
        <v>5850.0</v>
      </c>
      <c r="E91" s="15">
        <v>6163.950195</v>
      </c>
      <c r="F91" s="15">
        <v>6085.01123</v>
      </c>
      <c r="G91" s="15">
        <v>701813.0</v>
      </c>
      <c r="H91" s="19">
        <f t="shared" si="1"/>
        <v>0.05544383251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8">
        <v>44476.0</v>
      </c>
      <c r="B92" s="15">
        <v>6223.5</v>
      </c>
      <c r="C92" s="15">
        <v>6387.0</v>
      </c>
      <c r="D92" s="15">
        <v>6223.0</v>
      </c>
      <c r="E92" s="15">
        <v>6348.25</v>
      </c>
      <c r="F92" s="15">
        <v>6266.950684</v>
      </c>
      <c r="G92" s="15">
        <v>229047.0</v>
      </c>
      <c r="H92" s="19">
        <f t="shared" si="1"/>
        <v>0.02989962592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8">
        <v>44477.0</v>
      </c>
      <c r="B93" s="15">
        <v>6396.0</v>
      </c>
      <c r="C93" s="15">
        <v>6397.0</v>
      </c>
      <c r="D93" s="15">
        <v>6200.149902</v>
      </c>
      <c r="E93" s="15">
        <v>6231.700195</v>
      </c>
      <c r="F93" s="15">
        <v>6151.893555</v>
      </c>
      <c r="G93" s="15">
        <v>252479.0</v>
      </c>
      <c r="H93" s="19">
        <f t="shared" si="1"/>
        <v>-0.01835935967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8">
        <v>44480.0</v>
      </c>
      <c r="B94" s="15">
        <v>6287.0</v>
      </c>
      <c r="C94" s="15">
        <v>6340.0</v>
      </c>
      <c r="D94" s="15">
        <v>6111.100098</v>
      </c>
      <c r="E94" s="15">
        <v>6232.799805</v>
      </c>
      <c r="F94" s="15">
        <v>6152.979004</v>
      </c>
      <c r="G94" s="15">
        <v>184786.0</v>
      </c>
      <c r="H94" s="19">
        <f t="shared" si="1"/>
        <v>0.0001764542525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>
        <v>44481.0</v>
      </c>
      <c r="B95" s="15">
        <v>6262.0</v>
      </c>
      <c r="C95" s="15">
        <v>6321.0</v>
      </c>
      <c r="D95" s="15">
        <v>6050.0</v>
      </c>
      <c r="E95" s="15">
        <v>6073.649902</v>
      </c>
      <c r="F95" s="15">
        <v>5995.867188</v>
      </c>
      <c r="G95" s="15">
        <v>215661.0</v>
      </c>
      <c r="H95" s="19">
        <f t="shared" si="1"/>
        <v>-0.02553425555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>
        <v>44482.0</v>
      </c>
      <c r="B96" s="15">
        <v>6130.0</v>
      </c>
      <c r="C96" s="15">
        <v>6294.850098</v>
      </c>
      <c r="D96" s="15">
        <v>6088.450195</v>
      </c>
      <c r="E96" s="15">
        <v>6120.100098</v>
      </c>
      <c r="F96" s="15">
        <v>6041.722656</v>
      </c>
      <c r="G96" s="15">
        <v>289391.0</v>
      </c>
      <c r="H96" s="19">
        <f t="shared" si="1"/>
        <v>0.007647822438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>
        <v>44483.0</v>
      </c>
      <c r="B97" s="15">
        <v>6200.0</v>
      </c>
      <c r="C97" s="15">
        <v>6363.0</v>
      </c>
      <c r="D97" s="15">
        <v>6200.0</v>
      </c>
      <c r="E97" s="15">
        <v>6259.950195</v>
      </c>
      <c r="F97" s="15">
        <v>6179.78125</v>
      </c>
      <c r="G97" s="15">
        <v>289468.0</v>
      </c>
      <c r="H97" s="19">
        <f t="shared" si="1"/>
        <v>0.02285094929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>
        <v>44487.0</v>
      </c>
      <c r="B98" s="15">
        <v>6315.0</v>
      </c>
      <c r="C98" s="15">
        <v>6346.100098</v>
      </c>
      <c r="D98" s="15">
        <v>6242.200195</v>
      </c>
      <c r="E98" s="15">
        <v>6318.299805</v>
      </c>
      <c r="F98" s="15">
        <v>6237.384277</v>
      </c>
      <c r="G98" s="15">
        <v>216817.0</v>
      </c>
      <c r="H98" s="19">
        <f t="shared" si="1"/>
        <v>0.009321098121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>
        <v>44488.0</v>
      </c>
      <c r="B99" s="15">
        <v>6375.200195</v>
      </c>
      <c r="C99" s="15">
        <v>6610.0</v>
      </c>
      <c r="D99" s="15">
        <v>6179.75</v>
      </c>
      <c r="E99" s="15">
        <v>6289.350098</v>
      </c>
      <c r="F99" s="15">
        <v>6208.805176</v>
      </c>
      <c r="G99" s="15">
        <v>418233.0</v>
      </c>
      <c r="H99" s="19">
        <f t="shared" si="1"/>
        <v>-0.004581882452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>
        <v>44489.0</v>
      </c>
      <c r="B100" s="15">
        <v>6318.0</v>
      </c>
      <c r="C100" s="15">
        <v>6387.899902</v>
      </c>
      <c r="D100" s="15">
        <v>5975.0</v>
      </c>
      <c r="E100" s="15">
        <v>6178.850098</v>
      </c>
      <c r="F100" s="15">
        <v>6099.720215</v>
      </c>
      <c r="G100" s="15">
        <v>226705.0</v>
      </c>
      <c r="H100" s="19">
        <f t="shared" si="1"/>
        <v>-0.01756938289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>
        <v>44490.0</v>
      </c>
      <c r="B101" s="15">
        <v>6199.450195</v>
      </c>
      <c r="C101" s="15">
        <v>6259.899902</v>
      </c>
      <c r="D101" s="15">
        <v>5843.549805</v>
      </c>
      <c r="E101" s="15">
        <v>5911.100098</v>
      </c>
      <c r="F101" s="15">
        <v>5835.399414</v>
      </c>
      <c r="G101" s="15">
        <v>323837.0</v>
      </c>
      <c r="H101" s="19">
        <f t="shared" si="1"/>
        <v>-0.04333330567</v>
      </c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>
        <v>44491.0</v>
      </c>
      <c r="B102" s="15">
        <v>5940.0</v>
      </c>
      <c r="C102" s="15">
        <v>6135.899902</v>
      </c>
      <c r="D102" s="15">
        <v>5700.0</v>
      </c>
      <c r="E102" s="15">
        <v>6032.299805</v>
      </c>
      <c r="F102" s="15">
        <v>5955.046875</v>
      </c>
      <c r="G102" s="15">
        <v>274624.0</v>
      </c>
      <c r="H102" s="19">
        <f t="shared" si="1"/>
        <v>0.02050374803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>
        <v>44494.0</v>
      </c>
      <c r="B103" s="15">
        <v>6079.799805</v>
      </c>
      <c r="C103" s="15">
        <v>6117.950195</v>
      </c>
      <c r="D103" s="15">
        <v>5721.0</v>
      </c>
      <c r="E103" s="15">
        <v>5809.200195</v>
      </c>
      <c r="F103" s="15">
        <v>5734.804199</v>
      </c>
      <c r="G103" s="15">
        <v>290234.0</v>
      </c>
      <c r="H103" s="19">
        <f t="shared" si="1"/>
        <v>-0.03698417141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>
        <v>44495.0</v>
      </c>
      <c r="B104" s="15">
        <v>5825.0</v>
      </c>
      <c r="C104" s="15">
        <v>6000.0</v>
      </c>
      <c r="D104" s="15">
        <v>5824.0</v>
      </c>
      <c r="E104" s="15">
        <v>5876.200195</v>
      </c>
      <c r="F104" s="15">
        <v>5800.946289</v>
      </c>
      <c r="G104" s="15">
        <v>161740.0</v>
      </c>
      <c r="H104" s="19">
        <f t="shared" si="1"/>
        <v>0.01153342935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>
        <v>44496.0</v>
      </c>
      <c r="B105" s="15">
        <v>5903.0</v>
      </c>
      <c r="C105" s="15">
        <v>5940.0</v>
      </c>
      <c r="D105" s="15">
        <v>5800.0</v>
      </c>
      <c r="E105" s="15">
        <v>5867.149902</v>
      </c>
      <c r="F105" s="15">
        <v>5792.011719</v>
      </c>
      <c r="G105" s="15">
        <v>149191.0</v>
      </c>
      <c r="H105" s="19">
        <f t="shared" si="1"/>
        <v>-0.001540160767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>
        <v>44497.0</v>
      </c>
      <c r="B106" s="15">
        <v>5889.700195</v>
      </c>
      <c r="C106" s="15">
        <v>6067.049805</v>
      </c>
      <c r="D106" s="15">
        <v>5875.049805</v>
      </c>
      <c r="E106" s="15">
        <v>5897.5</v>
      </c>
      <c r="F106" s="15">
        <v>5821.973145</v>
      </c>
      <c r="G106" s="15">
        <v>170187.0</v>
      </c>
      <c r="H106" s="19">
        <f t="shared" si="1"/>
        <v>0.00517288607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>
        <v>44498.0</v>
      </c>
      <c r="B107" s="15">
        <v>5860.0</v>
      </c>
      <c r="C107" s="15">
        <v>5940.0</v>
      </c>
      <c r="D107" s="15">
        <v>5700.0</v>
      </c>
      <c r="E107" s="15">
        <v>5872.299805</v>
      </c>
      <c r="F107" s="15">
        <v>5797.096191</v>
      </c>
      <c r="G107" s="15">
        <v>131235.0</v>
      </c>
      <c r="H107" s="19">
        <f t="shared" si="1"/>
        <v>-0.004273030097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>
        <v>44501.0</v>
      </c>
      <c r="B108" s="15">
        <v>5900.0</v>
      </c>
      <c r="C108" s="15">
        <v>5999.649902</v>
      </c>
      <c r="D108" s="15">
        <v>5833.600098</v>
      </c>
      <c r="E108" s="15">
        <v>5974.200195</v>
      </c>
      <c r="F108" s="15">
        <v>5897.690918</v>
      </c>
      <c r="G108" s="15">
        <v>99402.0</v>
      </c>
      <c r="H108" s="19">
        <f t="shared" si="1"/>
        <v>0.01735272268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>
        <v>44502.0</v>
      </c>
      <c r="B109" s="15">
        <v>6000.0</v>
      </c>
      <c r="C109" s="15">
        <v>6165.0</v>
      </c>
      <c r="D109" s="15">
        <v>6000.0</v>
      </c>
      <c r="E109" s="15">
        <v>6079.649902</v>
      </c>
      <c r="F109" s="15">
        <v>6001.790527</v>
      </c>
      <c r="G109" s="15">
        <v>149524.0</v>
      </c>
      <c r="H109" s="19">
        <f t="shared" si="1"/>
        <v>0.01765084924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>
        <v>44503.0</v>
      </c>
      <c r="B110" s="15">
        <v>6119.0</v>
      </c>
      <c r="C110" s="15">
        <v>6205.0</v>
      </c>
      <c r="D110" s="15">
        <v>6086.0</v>
      </c>
      <c r="E110" s="15">
        <v>6190.100098</v>
      </c>
      <c r="F110" s="15">
        <v>6110.826172</v>
      </c>
      <c r="G110" s="15">
        <v>139692.0</v>
      </c>
      <c r="H110" s="19">
        <f t="shared" si="1"/>
        <v>0.01816719676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>
        <v>44504.0</v>
      </c>
      <c r="B111" s="15">
        <v>6221.100098</v>
      </c>
      <c r="C111" s="15">
        <v>6245.0</v>
      </c>
      <c r="D111" s="15">
        <v>6205.450195</v>
      </c>
      <c r="E111" s="15">
        <v>6220.100098</v>
      </c>
      <c r="F111" s="15">
        <v>6140.441895</v>
      </c>
      <c r="G111" s="15">
        <v>40009.0</v>
      </c>
      <c r="H111" s="19">
        <f t="shared" si="1"/>
        <v>0.004846448284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>
        <v>44508.0</v>
      </c>
      <c r="B112" s="15">
        <v>6248.700195</v>
      </c>
      <c r="C112" s="15">
        <v>6258.950195</v>
      </c>
      <c r="D112" s="15">
        <v>6110.350098</v>
      </c>
      <c r="E112" s="15">
        <v>6184.549805</v>
      </c>
      <c r="F112" s="15">
        <v>6105.347168</v>
      </c>
      <c r="G112" s="15">
        <v>88925.0</v>
      </c>
      <c r="H112" s="19">
        <f t="shared" si="1"/>
        <v>-0.005715389212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>
        <v>44509.0</v>
      </c>
      <c r="B113" s="15">
        <v>6184.549805</v>
      </c>
      <c r="C113" s="15">
        <v>6285.399902</v>
      </c>
      <c r="D113" s="15">
        <v>6184.549805</v>
      </c>
      <c r="E113" s="15">
        <v>6270.0</v>
      </c>
      <c r="F113" s="15">
        <v>6189.702637</v>
      </c>
      <c r="G113" s="15">
        <v>179117.0</v>
      </c>
      <c r="H113" s="19">
        <f t="shared" si="1"/>
        <v>0.01381672033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>
        <v>44510.0</v>
      </c>
      <c r="B114" s="15">
        <v>6270.0</v>
      </c>
      <c r="C114" s="15">
        <v>6455.0</v>
      </c>
      <c r="D114" s="15">
        <v>6270.0</v>
      </c>
      <c r="E114" s="15">
        <v>6410.149902</v>
      </c>
      <c r="F114" s="15">
        <v>6328.058105</v>
      </c>
      <c r="G114" s="15">
        <v>205740.0</v>
      </c>
      <c r="H114" s="19">
        <f t="shared" si="1"/>
        <v>0.02235245646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>
        <v>44511.0</v>
      </c>
      <c r="B115" s="15">
        <v>6433.700195</v>
      </c>
      <c r="C115" s="15">
        <v>6638.899902</v>
      </c>
      <c r="D115" s="15">
        <v>6403.950195</v>
      </c>
      <c r="E115" s="15">
        <v>6591.799805</v>
      </c>
      <c r="F115" s="15">
        <v>6507.381348</v>
      </c>
      <c r="G115" s="15">
        <v>285766.0</v>
      </c>
      <c r="H115" s="19">
        <f t="shared" si="1"/>
        <v>0.02833785571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>
        <v>44512.0</v>
      </c>
      <c r="B116" s="15">
        <v>6651.149902</v>
      </c>
      <c r="C116" s="15">
        <v>6689.0</v>
      </c>
      <c r="D116" s="15">
        <v>6462.0</v>
      </c>
      <c r="E116" s="15">
        <v>6552.75</v>
      </c>
      <c r="F116" s="15">
        <v>6468.832031</v>
      </c>
      <c r="G116" s="15">
        <v>164665.0</v>
      </c>
      <c r="H116" s="19">
        <f t="shared" si="1"/>
        <v>-0.005923997414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>
        <v>44515.0</v>
      </c>
      <c r="B117" s="15">
        <v>6598.0</v>
      </c>
      <c r="C117" s="15">
        <v>6650.0</v>
      </c>
      <c r="D117" s="15">
        <v>6501.0</v>
      </c>
      <c r="E117" s="15">
        <v>6619.299805</v>
      </c>
      <c r="F117" s="15">
        <v>6534.529297</v>
      </c>
      <c r="G117" s="15">
        <v>123582.0</v>
      </c>
      <c r="H117" s="19">
        <f t="shared" si="1"/>
        <v>0.0101560116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>
        <v>44516.0</v>
      </c>
      <c r="B118" s="15">
        <v>6648.700195</v>
      </c>
      <c r="C118" s="15">
        <v>6725.450195</v>
      </c>
      <c r="D118" s="15">
        <v>6580.299805</v>
      </c>
      <c r="E118" s="15">
        <v>6599.350098</v>
      </c>
      <c r="F118" s="15">
        <v>6514.834961</v>
      </c>
      <c r="G118" s="15">
        <v>126118.0</v>
      </c>
      <c r="H118" s="19">
        <f t="shared" si="1"/>
        <v>-0.003013869682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>
        <v>44517.0</v>
      </c>
      <c r="B119" s="15">
        <v>6625.0</v>
      </c>
      <c r="C119" s="15">
        <v>6730.0</v>
      </c>
      <c r="D119" s="15">
        <v>6550.0</v>
      </c>
      <c r="E119" s="15">
        <v>6595.100098</v>
      </c>
      <c r="F119" s="15">
        <v>6510.63916</v>
      </c>
      <c r="G119" s="15">
        <v>134439.0</v>
      </c>
      <c r="H119" s="19">
        <f t="shared" si="1"/>
        <v>-0.0006440028089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>
        <v>44518.0</v>
      </c>
      <c r="B120" s="15">
        <v>6623.850098</v>
      </c>
      <c r="C120" s="15">
        <v>6660.299805</v>
      </c>
      <c r="D120" s="15">
        <v>6336.0</v>
      </c>
      <c r="E120" s="15">
        <v>6390.75</v>
      </c>
      <c r="F120" s="15">
        <v>6308.90625</v>
      </c>
      <c r="G120" s="15">
        <v>173718.0</v>
      </c>
      <c r="H120" s="19">
        <f t="shared" si="1"/>
        <v>-0.03098513972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>
        <v>44522.0</v>
      </c>
      <c r="B121" s="15">
        <v>6391.399902</v>
      </c>
      <c r="C121" s="15">
        <v>6413.700195</v>
      </c>
      <c r="D121" s="15">
        <v>6000.0</v>
      </c>
      <c r="E121" s="15">
        <v>6029.799805</v>
      </c>
      <c r="F121" s="15">
        <v>5952.578613</v>
      </c>
      <c r="G121" s="15">
        <v>257465.0</v>
      </c>
      <c r="H121" s="19">
        <f t="shared" si="1"/>
        <v>-0.05648009936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>
        <v>44523.0</v>
      </c>
      <c r="B122" s="15">
        <v>6017.0</v>
      </c>
      <c r="C122" s="15">
        <v>6145.0</v>
      </c>
      <c r="D122" s="15">
        <v>5750.0</v>
      </c>
      <c r="E122" s="15">
        <v>6038.450195</v>
      </c>
      <c r="F122" s="15">
        <v>5961.118164</v>
      </c>
      <c r="G122" s="15">
        <v>208513.0</v>
      </c>
      <c r="H122" s="19">
        <f t="shared" si="1"/>
        <v>0.001434606501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>
        <v>44524.0</v>
      </c>
      <c r="B123" s="15">
        <v>6053.0</v>
      </c>
      <c r="C123" s="15">
        <v>6244.0</v>
      </c>
      <c r="D123" s="15">
        <v>5990.0</v>
      </c>
      <c r="E123" s="15">
        <v>6012.25</v>
      </c>
      <c r="F123" s="15">
        <v>5935.253418</v>
      </c>
      <c r="G123" s="15">
        <v>157944.0</v>
      </c>
      <c r="H123" s="19">
        <f t="shared" si="1"/>
        <v>-0.004338893947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>
        <v>44525.0</v>
      </c>
      <c r="B124" s="15">
        <v>6020.0</v>
      </c>
      <c r="C124" s="15">
        <v>6043.700195</v>
      </c>
      <c r="D124" s="15">
        <v>5901.0</v>
      </c>
      <c r="E124" s="15">
        <v>5951.100098</v>
      </c>
      <c r="F124" s="15">
        <v>5874.887207</v>
      </c>
      <c r="G124" s="15">
        <v>121653.0</v>
      </c>
      <c r="H124" s="19">
        <f t="shared" si="1"/>
        <v>-0.01017088478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>
        <v>44526.0</v>
      </c>
      <c r="B125" s="15">
        <v>5920.0</v>
      </c>
      <c r="C125" s="15">
        <v>5920.0</v>
      </c>
      <c r="D125" s="15">
        <v>5775.0</v>
      </c>
      <c r="E125" s="15">
        <v>5838.200195</v>
      </c>
      <c r="F125" s="15">
        <v>5763.432617</v>
      </c>
      <c r="G125" s="15">
        <v>145873.0</v>
      </c>
      <c r="H125" s="19">
        <f t="shared" si="1"/>
        <v>-0.01897126601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>
        <v>44529.0</v>
      </c>
      <c r="B126" s="15">
        <v>5600.0</v>
      </c>
      <c r="C126" s="15">
        <v>5755.0</v>
      </c>
      <c r="D126" s="15">
        <v>5263.399902</v>
      </c>
      <c r="E126" s="15">
        <v>5679.350098</v>
      </c>
      <c r="F126" s="15">
        <v>5606.617188</v>
      </c>
      <c r="G126" s="15">
        <v>515607.0</v>
      </c>
      <c r="H126" s="19">
        <f t="shared" si="1"/>
        <v>-0.02720874442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>
        <v>44530.0</v>
      </c>
      <c r="B127" s="15">
        <v>5700.0</v>
      </c>
      <c r="C127" s="15">
        <v>5948.0</v>
      </c>
      <c r="D127" s="15">
        <v>5685.799805</v>
      </c>
      <c r="E127" s="15">
        <v>5781.649902</v>
      </c>
      <c r="F127" s="15">
        <v>5707.606445</v>
      </c>
      <c r="G127" s="15">
        <v>248780.0</v>
      </c>
      <c r="H127" s="19">
        <f t="shared" si="1"/>
        <v>0.01801258986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>
        <v>44531.0</v>
      </c>
      <c r="B128" s="15">
        <v>5781.649902</v>
      </c>
      <c r="C128" s="15">
        <v>5900.0</v>
      </c>
      <c r="D128" s="15">
        <v>5750.0</v>
      </c>
      <c r="E128" s="15">
        <v>5883.450195</v>
      </c>
      <c r="F128" s="15">
        <v>5808.103516</v>
      </c>
      <c r="G128" s="15">
        <v>91400.0</v>
      </c>
      <c r="H128" s="19">
        <f t="shared" si="1"/>
        <v>0.01760748138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>
        <v>44532.0</v>
      </c>
      <c r="B129" s="15">
        <v>5913.0</v>
      </c>
      <c r="C129" s="15">
        <v>5999.0</v>
      </c>
      <c r="D129" s="15">
        <v>5850.0</v>
      </c>
      <c r="E129" s="15">
        <v>5979.75</v>
      </c>
      <c r="F129" s="15">
        <v>5903.169922</v>
      </c>
      <c r="G129" s="15">
        <v>110093.0</v>
      </c>
      <c r="H129" s="19">
        <f t="shared" si="1"/>
        <v>0.01636791369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>
        <v>44533.0</v>
      </c>
      <c r="B130" s="15">
        <v>5952.0</v>
      </c>
      <c r="C130" s="15">
        <v>5985.799805</v>
      </c>
      <c r="D130" s="15">
        <v>5843.0</v>
      </c>
      <c r="E130" s="15">
        <v>5897.25</v>
      </c>
      <c r="F130" s="15">
        <v>5821.726563</v>
      </c>
      <c r="G130" s="15">
        <v>140689.0</v>
      </c>
      <c r="H130" s="19">
        <f t="shared" si="1"/>
        <v>-0.0137965634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>
        <v>44536.0</v>
      </c>
      <c r="B131" s="15">
        <v>5843.0</v>
      </c>
      <c r="C131" s="15">
        <v>5870.299805</v>
      </c>
      <c r="D131" s="15">
        <v>5691.299805</v>
      </c>
      <c r="E131" s="15">
        <v>5701.850098</v>
      </c>
      <c r="F131" s="15">
        <v>5628.829102</v>
      </c>
      <c r="G131" s="15">
        <v>140411.0</v>
      </c>
      <c r="H131" s="19">
        <f t="shared" si="1"/>
        <v>-0.0331340713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>
        <v>44537.0</v>
      </c>
      <c r="B132" s="15">
        <v>5750.0</v>
      </c>
      <c r="C132" s="15">
        <v>5960.0</v>
      </c>
      <c r="D132" s="15">
        <v>5613.950195</v>
      </c>
      <c r="E132" s="15">
        <v>5898.149902</v>
      </c>
      <c r="F132" s="15">
        <v>5822.614746</v>
      </c>
      <c r="G132" s="15">
        <v>260215.0</v>
      </c>
      <c r="H132" s="19">
        <f t="shared" si="1"/>
        <v>0.03442738771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>
        <v>44538.0</v>
      </c>
      <c r="B133" s="15">
        <v>5998.0</v>
      </c>
      <c r="C133" s="15">
        <v>6030.649902</v>
      </c>
      <c r="D133" s="15">
        <v>5870.700195</v>
      </c>
      <c r="E133" s="15">
        <v>5889.899902</v>
      </c>
      <c r="F133" s="15">
        <v>5814.470703</v>
      </c>
      <c r="G133" s="15">
        <v>124308.0</v>
      </c>
      <c r="H133" s="19">
        <f t="shared" si="1"/>
        <v>-0.001398743697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>
        <v>44539.0</v>
      </c>
      <c r="B134" s="15">
        <v>5948.0</v>
      </c>
      <c r="C134" s="15">
        <v>6059.0</v>
      </c>
      <c r="D134" s="15">
        <v>5882.049805</v>
      </c>
      <c r="E134" s="15">
        <v>5943.399902</v>
      </c>
      <c r="F134" s="15">
        <v>5867.285645</v>
      </c>
      <c r="G134" s="15">
        <v>198455.0</v>
      </c>
      <c r="H134" s="19">
        <f t="shared" si="1"/>
        <v>0.009083346218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>
        <v>44540.0</v>
      </c>
      <c r="B135" s="15">
        <v>5974.0</v>
      </c>
      <c r="C135" s="15">
        <v>6050.0</v>
      </c>
      <c r="D135" s="15">
        <v>5877.0</v>
      </c>
      <c r="E135" s="15">
        <v>5993.75</v>
      </c>
      <c r="F135" s="15">
        <v>5916.990723</v>
      </c>
      <c r="G135" s="15">
        <v>165738.0</v>
      </c>
      <c r="H135" s="19">
        <f t="shared" si="1"/>
        <v>0.008471598551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>
        <v>44543.0</v>
      </c>
      <c r="B136" s="15">
        <v>6045.0</v>
      </c>
      <c r="C136" s="15">
        <v>6057.0</v>
      </c>
      <c r="D136" s="15">
        <v>5821.0</v>
      </c>
      <c r="E136" s="15">
        <v>5873.649902</v>
      </c>
      <c r="F136" s="15">
        <v>5798.428711</v>
      </c>
      <c r="G136" s="15">
        <v>145139.0</v>
      </c>
      <c r="H136" s="19">
        <f t="shared" si="1"/>
        <v>-0.02003755545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>
        <v>44544.0</v>
      </c>
      <c r="B137" s="15">
        <v>5890.0</v>
      </c>
      <c r="C137" s="15">
        <v>6099.0</v>
      </c>
      <c r="D137" s="15">
        <v>5885.0</v>
      </c>
      <c r="E137" s="15">
        <v>6021.950195</v>
      </c>
      <c r="F137" s="15">
        <v>5944.82959</v>
      </c>
      <c r="G137" s="15">
        <v>251089.0</v>
      </c>
      <c r="H137" s="19">
        <f t="shared" si="1"/>
        <v>0.02524840525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>
        <v>44545.0</v>
      </c>
      <c r="B138" s="15">
        <v>6025.0</v>
      </c>
      <c r="C138" s="15">
        <v>6025.149902</v>
      </c>
      <c r="D138" s="15">
        <v>5850.0</v>
      </c>
      <c r="E138" s="15">
        <v>5867.450195</v>
      </c>
      <c r="F138" s="15">
        <v>5792.308105</v>
      </c>
      <c r="G138" s="15">
        <v>185419.0</v>
      </c>
      <c r="H138" s="19">
        <f t="shared" si="1"/>
        <v>-0.02565614045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>
        <v>44546.0</v>
      </c>
      <c r="B139" s="15">
        <v>5980.0</v>
      </c>
      <c r="C139" s="15">
        <v>6025.0</v>
      </c>
      <c r="D139" s="15">
        <v>5870.0</v>
      </c>
      <c r="E139" s="15">
        <v>5908.899902</v>
      </c>
      <c r="F139" s="15">
        <v>5833.227051</v>
      </c>
      <c r="G139" s="15">
        <v>149563.0</v>
      </c>
      <c r="H139" s="19">
        <f t="shared" si="1"/>
        <v>0.00706434748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>
        <v>44547.0</v>
      </c>
      <c r="B140" s="15">
        <v>5935.0</v>
      </c>
      <c r="C140" s="15">
        <v>5935.0</v>
      </c>
      <c r="D140" s="15">
        <v>5707.850098</v>
      </c>
      <c r="E140" s="15">
        <v>5732.649902</v>
      </c>
      <c r="F140" s="15">
        <v>5659.234375</v>
      </c>
      <c r="G140" s="15">
        <v>169369.0</v>
      </c>
      <c r="H140" s="19">
        <f t="shared" si="1"/>
        <v>-0.02982788724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>
        <v>44550.0</v>
      </c>
      <c r="B141" s="15">
        <v>5710.0</v>
      </c>
      <c r="C141" s="15">
        <v>5715.0</v>
      </c>
      <c r="D141" s="15">
        <v>5340.0</v>
      </c>
      <c r="E141" s="15">
        <v>5433.799805</v>
      </c>
      <c r="F141" s="15">
        <v>5364.211426</v>
      </c>
      <c r="G141" s="15">
        <v>254500.0</v>
      </c>
      <c r="H141" s="19">
        <f t="shared" si="1"/>
        <v>-0.05213123113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>
        <v>44551.0</v>
      </c>
      <c r="B142" s="15">
        <v>5530.149902</v>
      </c>
      <c r="C142" s="15">
        <v>5560.0</v>
      </c>
      <c r="D142" s="15">
        <v>5425.0</v>
      </c>
      <c r="E142" s="15">
        <v>5434.5</v>
      </c>
      <c r="F142" s="15">
        <v>5364.902832</v>
      </c>
      <c r="G142" s="15">
        <v>194508.0</v>
      </c>
      <c r="H142" s="19">
        <f t="shared" si="1"/>
        <v>0.0001288591824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>
        <v>44552.0</v>
      </c>
      <c r="B143" s="15">
        <v>5540.0</v>
      </c>
      <c r="C143" s="15">
        <v>5550.0</v>
      </c>
      <c r="D143" s="15">
        <v>5454.0</v>
      </c>
      <c r="E143" s="15">
        <v>5476.649902</v>
      </c>
      <c r="F143" s="15">
        <v>5406.512695</v>
      </c>
      <c r="G143" s="15">
        <v>112229.0</v>
      </c>
      <c r="H143" s="19">
        <f t="shared" si="1"/>
        <v>0.007755985279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>
        <v>44553.0</v>
      </c>
      <c r="B144" s="15">
        <v>5535.0</v>
      </c>
      <c r="C144" s="15">
        <v>5535.0</v>
      </c>
      <c r="D144" s="15">
        <v>5461.25</v>
      </c>
      <c r="E144" s="15">
        <v>5491.0</v>
      </c>
      <c r="F144" s="15">
        <v>5420.679199</v>
      </c>
      <c r="G144" s="15">
        <v>96829.0</v>
      </c>
      <c r="H144" s="19">
        <f t="shared" si="1"/>
        <v>0.002620232853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>
        <v>44554.0</v>
      </c>
      <c r="B145" s="15">
        <v>5499.200195</v>
      </c>
      <c r="C145" s="15">
        <v>5594.899902</v>
      </c>
      <c r="D145" s="15">
        <v>5481.0</v>
      </c>
      <c r="E145" s="15">
        <v>5501.0</v>
      </c>
      <c r="F145" s="15">
        <v>5430.55127</v>
      </c>
      <c r="G145" s="15">
        <v>112435.0</v>
      </c>
      <c r="H145" s="19">
        <f t="shared" si="1"/>
        <v>0.001821161901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>
        <v>44557.0</v>
      </c>
      <c r="B146" s="15">
        <v>5516.0</v>
      </c>
      <c r="C146" s="15">
        <v>5520.0</v>
      </c>
      <c r="D146" s="15">
        <v>5421.0</v>
      </c>
      <c r="E146" s="15">
        <v>5444.100098</v>
      </c>
      <c r="F146" s="15">
        <v>5374.379883</v>
      </c>
      <c r="G146" s="15">
        <v>85984.0</v>
      </c>
      <c r="H146" s="19">
        <f t="shared" si="1"/>
        <v>-0.01034355608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>
        <v>44558.0</v>
      </c>
      <c r="B147" s="15">
        <v>5500.0</v>
      </c>
      <c r="C147" s="15">
        <v>5550.0</v>
      </c>
      <c r="D147" s="15">
        <v>5460.049805</v>
      </c>
      <c r="E147" s="15">
        <v>5529.100098</v>
      </c>
      <c r="F147" s="15">
        <v>5458.291016</v>
      </c>
      <c r="G147" s="15">
        <v>126814.0</v>
      </c>
      <c r="H147" s="19">
        <f t="shared" si="1"/>
        <v>0.01561323239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>
        <v>44559.0</v>
      </c>
      <c r="B148" s="15">
        <v>5554.799805</v>
      </c>
      <c r="C148" s="15">
        <v>5725.0</v>
      </c>
      <c r="D148" s="15">
        <v>5519.950195</v>
      </c>
      <c r="E148" s="15">
        <v>5707.100098</v>
      </c>
      <c r="F148" s="15">
        <v>5634.011719</v>
      </c>
      <c r="G148" s="15">
        <v>199190.0</v>
      </c>
      <c r="H148" s="19">
        <f t="shared" si="1"/>
        <v>0.03219330395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>
        <v>44560.0</v>
      </c>
      <c r="B149" s="15">
        <v>5748.0</v>
      </c>
      <c r="C149" s="15">
        <v>5850.0</v>
      </c>
      <c r="D149" s="15">
        <v>5726.0</v>
      </c>
      <c r="E149" s="15">
        <v>5814.149902</v>
      </c>
      <c r="F149" s="15">
        <v>5739.69043</v>
      </c>
      <c r="G149" s="15">
        <v>160005.0</v>
      </c>
      <c r="H149" s="19">
        <f t="shared" si="1"/>
        <v>0.01875730269</v>
      </c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>
        <v>44561.0</v>
      </c>
      <c r="B150" s="15">
        <v>5875.0</v>
      </c>
      <c r="C150" s="15">
        <v>5895.0</v>
      </c>
      <c r="D150" s="15">
        <v>5801.0</v>
      </c>
      <c r="E150" s="15">
        <v>5868.0</v>
      </c>
      <c r="F150" s="15">
        <v>5792.851074</v>
      </c>
      <c r="G150" s="15">
        <v>96466.0</v>
      </c>
      <c r="H150" s="19">
        <f t="shared" si="1"/>
        <v>0.00926190396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>
        <v>44564.0</v>
      </c>
      <c r="B151" s="15">
        <v>5888.0</v>
      </c>
      <c r="C151" s="15">
        <v>5983.75</v>
      </c>
      <c r="D151" s="15">
        <v>5868.0</v>
      </c>
      <c r="E151" s="15">
        <v>5893.649902</v>
      </c>
      <c r="F151" s="15">
        <v>5818.172363</v>
      </c>
      <c r="G151" s="15">
        <v>120686.0</v>
      </c>
      <c r="H151" s="19">
        <f t="shared" si="1"/>
        <v>0.004371148943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>
        <v>44565.0</v>
      </c>
      <c r="B152" s="15">
        <v>5950.0</v>
      </c>
      <c r="C152" s="15">
        <v>5989.5</v>
      </c>
      <c r="D152" s="15">
        <v>5895.049805</v>
      </c>
      <c r="E152" s="15">
        <v>5977.75</v>
      </c>
      <c r="F152" s="15">
        <v>5901.195313</v>
      </c>
      <c r="G152" s="15">
        <v>107717.0</v>
      </c>
      <c r="H152" s="19">
        <f t="shared" si="1"/>
        <v>0.01426961211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>
        <v>44566.0</v>
      </c>
      <c r="B153" s="15">
        <v>6000.0</v>
      </c>
      <c r="C153" s="15">
        <v>6027.0</v>
      </c>
      <c r="D153" s="15">
        <v>5884.950195</v>
      </c>
      <c r="E153" s="15">
        <v>5963.799805</v>
      </c>
      <c r="F153" s="15">
        <v>5887.423828</v>
      </c>
      <c r="G153" s="15">
        <v>106351.0</v>
      </c>
      <c r="H153" s="19">
        <f t="shared" si="1"/>
        <v>-0.002333686588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>
        <v>44567.0</v>
      </c>
      <c r="B154" s="15">
        <v>5873.0</v>
      </c>
      <c r="C154" s="15">
        <v>5901.75</v>
      </c>
      <c r="D154" s="15">
        <v>5805.0</v>
      </c>
      <c r="E154" s="15">
        <v>5873.549805</v>
      </c>
      <c r="F154" s="15">
        <v>5798.330078</v>
      </c>
      <c r="G154" s="15">
        <v>93465.0</v>
      </c>
      <c r="H154" s="19">
        <f t="shared" si="1"/>
        <v>-0.01513296941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>
        <v>44568.0</v>
      </c>
      <c r="B155" s="15">
        <v>5900.0</v>
      </c>
      <c r="C155" s="15">
        <v>5938.850098</v>
      </c>
      <c r="D155" s="15">
        <v>5782.0</v>
      </c>
      <c r="E155" s="15">
        <v>5799.549805</v>
      </c>
      <c r="F155" s="15">
        <v>5725.277832</v>
      </c>
      <c r="G155" s="15">
        <v>112039.0</v>
      </c>
      <c r="H155" s="19">
        <f t="shared" si="1"/>
        <v>-0.0125988546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>
        <v>44571.0</v>
      </c>
      <c r="B156" s="15">
        <v>5861.049805</v>
      </c>
      <c r="C156" s="15">
        <v>6020.0</v>
      </c>
      <c r="D156" s="15">
        <v>5800.0</v>
      </c>
      <c r="E156" s="15">
        <v>5992.950195</v>
      </c>
      <c r="F156" s="15">
        <v>5916.200684</v>
      </c>
      <c r="G156" s="15">
        <v>176137.0</v>
      </c>
      <c r="H156" s="19">
        <f t="shared" si="1"/>
        <v>0.03334748325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>
        <v>44572.0</v>
      </c>
      <c r="B157" s="15">
        <v>6010.0</v>
      </c>
      <c r="C157" s="15">
        <v>6042.899902</v>
      </c>
      <c r="D157" s="15">
        <v>5925.0</v>
      </c>
      <c r="E157" s="15">
        <v>5938.75</v>
      </c>
      <c r="F157" s="15">
        <v>5862.694824</v>
      </c>
      <c r="G157" s="15">
        <v>80493.0</v>
      </c>
      <c r="H157" s="19">
        <f t="shared" si="1"/>
        <v>-0.00904399223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>
        <v>44573.0</v>
      </c>
      <c r="B158" s="15">
        <v>5978.049805</v>
      </c>
      <c r="C158" s="15">
        <v>6167.0</v>
      </c>
      <c r="D158" s="15">
        <v>5950.0</v>
      </c>
      <c r="E158" s="15">
        <v>6114.100098</v>
      </c>
      <c r="F158" s="15">
        <v>6035.799316</v>
      </c>
      <c r="G158" s="15">
        <v>208195.0</v>
      </c>
      <c r="H158" s="19">
        <f t="shared" si="1"/>
        <v>0.02952643199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>
        <v>44574.0</v>
      </c>
      <c r="B159" s="15">
        <v>6141.0</v>
      </c>
      <c r="C159" s="15">
        <v>6450.0</v>
      </c>
      <c r="D159" s="15">
        <v>6137.0</v>
      </c>
      <c r="E159" s="15">
        <v>6401.75</v>
      </c>
      <c r="F159" s="15">
        <v>6319.765625</v>
      </c>
      <c r="G159" s="15">
        <v>467887.0</v>
      </c>
      <c r="H159" s="19">
        <f t="shared" si="1"/>
        <v>0.04704697296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>
        <v>44575.0</v>
      </c>
      <c r="B160" s="15">
        <v>6411.0</v>
      </c>
      <c r="C160" s="15">
        <v>6415.0</v>
      </c>
      <c r="D160" s="15">
        <v>6232.0</v>
      </c>
      <c r="E160" s="15">
        <v>6312.0</v>
      </c>
      <c r="F160" s="15">
        <v>6231.165039</v>
      </c>
      <c r="G160" s="15">
        <v>172383.0</v>
      </c>
      <c r="H160" s="19">
        <f t="shared" si="1"/>
        <v>-0.01401960401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>
        <v>44578.0</v>
      </c>
      <c r="B161" s="15">
        <v>6350.0</v>
      </c>
      <c r="C161" s="15">
        <v>6505.149902</v>
      </c>
      <c r="D161" s="15">
        <v>6345.0</v>
      </c>
      <c r="E161" s="15">
        <v>6398.100098</v>
      </c>
      <c r="F161" s="15">
        <v>6316.162598</v>
      </c>
      <c r="G161" s="15">
        <v>179777.0</v>
      </c>
      <c r="H161" s="19">
        <f t="shared" si="1"/>
        <v>0.01364069994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>
        <v>44579.0</v>
      </c>
      <c r="B162" s="15">
        <v>6480.0</v>
      </c>
      <c r="C162" s="15">
        <v>6523.799805</v>
      </c>
      <c r="D162" s="15">
        <v>6301.0</v>
      </c>
      <c r="E162" s="15">
        <v>6376.299805</v>
      </c>
      <c r="F162" s="15">
        <v>6294.641113</v>
      </c>
      <c r="G162" s="15">
        <v>274448.0</v>
      </c>
      <c r="H162" s="19">
        <f t="shared" si="1"/>
        <v>-0.003407307273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>
        <v>44580.0</v>
      </c>
      <c r="B163" s="15">
        <v>6547.950195</v>
      </c>
      <c r="C163" s="15">
        <v>7170.0</v>
      </c>
      <c r="D163" s="15">
        <v>6381.399902</v>
      </c>
      <c r="E163" s="15">
        <v>6977.25</v>
      </c>
      <c r="F163" s="15">
        <v>6887.895508</v>
      </c>
      <c r="G163" s="15">
        <v>2831099.0</v>
      </c>
      <c r="H163" s="19">
        <f t="shared" si="1"/>
        <v>0.09424748104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>
        <v>44581.0</v>
      </c>
      <c r="B164" s="15">
        <v>7059.0</v>
      </c>
      <c r="C164" s="15">
        <v>7525.0</v>
      </c>
      <c r="D164" s="15">
        <v>7037.299805</v>
      </c>
      <c r="E164" s="15">
        <v>7430.450195</v>
      </c>
      <c r="F164" s="15">
        <v>7335.291992</v>
      </c>
      <c r="G164" s="15">
        <v>2156628.0</v>
      </c>
      <c r="H164" s="19">
        <f t="shared" si="1"/>
        <v>0.06495398545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>
        <v>44582.0</v>
      </c>
      <c r="B165" s="15">
        <v>7520.0</v>
      </c>
      <c r="C165" s="15">
        <v>7800.0</v>
      </c>
      <c r="D165" s="15">
        <v>7025.0</v>
      </c>
      <c r="E165" s="15">
        <v>7200.700195</v>
      </c>
      <c r="F165" s="15">
        <v>7108.483887</v>
      </c>
      <c r="G165" s="15">
        <v>2003434.0</v>
      </c>
      <c r="H165" s="19">
        <f t="shared" si="1"/>
        <v>-0.0309200646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>
        <v>44585.0</v>
      </c>
      <c r="B166" s="15">
        <v>7275.0</v>
      </c>
      <c r="C166" s="15">
        <v>7495.0</v>
      </c>
      <c r="D166" s="15">
        <v>6834.399902</v>
      </c>
      <c r="E166" s="15">
        <v>7040.700195</v>
      </c>
      <c r="F166" s="15">
        <v>6950.533203</v>
      </c>
      <c r="G166" s="15">
        <v>995137.0</v>
      </c>
      <c r="H166" s="19">
        <f t="shared" si="1"/>
        <v>-0.02222006134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>
        <v>44586.0</v>
      </c>
      <c r="B167" s="15">
        <v>7085.0</v>
      </c>
      <c r="C167" s="15">
        <v>7280.0</v>
      </c>
      <c r="D167" s="15">
        <v>6840.0</v>
      </c>
      <c r="E167" s="15">
        <v>7179.200195</v>
      </c>
      <c r="F167" s="15">
        <v>7087.259277</v>
      </c>
      <c r="G167" s="15">
        <v>805943.0</v>
      </c>
      <c r="H167" s="19">
        <f t="shared" si="1"/>
        <v>0.01967133895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>
        <v>44588.0</v>
      </c>
      <c r="B168" s="15">
        <v>7103.0</v>
      </c>
      <c r="C168" s="15">
        <v>7129.0</v>
      </c>
      <c r="D168" s="15">
        <v>6930.0</v>
      </c>
      <c r="E168" s="15">
        <v>6974.149902</v>
      </c>
      <c r="F168" s="15">
        <v>6884.834961</v>
      </c>
      <c r="G168" s="15">
        <v>358322.0</v>
      </c>
      <c r="H168" s="19">
        <f t="shared" si="1"/>
        <v>-0.02856171822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>
        <v>44589.0</v>
      </c>
      <c r="B169" s="15">
        <v>7030.899902</v>
      </c>
      <c r="C169" s="15">
        <v>7400.0</v>
      </c>
      <c r="D169" s="15">
        <v>7008.049805</v>
      </c>
      <c r="E169" s="15">
        <v>7183.149902</v>
      </c>
      <c r="F169" s="15">
        <v>7091.158203</v>
      </c>
      <c r="G169" s="15">
        <v>603449.0</v>
      </c>
      <c r="H169" s="19">
        <f t="shared" si="1"/>
        <v>0.02996781012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>
        <v>44592.0</v>
      </c>
      <c r="B170" s="15">
        <v>7438.700195</v>
      </c>
      <c r="C170" s="15">
        <v>7777.0</v>
      </c>
      <c r="D170" s="15">
        <v>7376.700195</v>
      </c>
      <c r="E170" s="15">
        <v>7607.350098</v>
      </c>
      <c r="F170" s="15">
        <v>7509.92627</v>
      </c>
      <c r="G170" s="15">
        <v>1006940.0</v>
      </c>
      <c r="H170" s="19">
        <f t="shared" si="1"/>
        <v>0.05905489956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>
        <v>44593.0</v>
      </c>
      <c r="B171" s="15">
        <v>7779.0</v>
      </c>
      <c r="C171" s="15">
        <v>7964.399902</v>
      </c>
      <c r="D171" s="15">
        <v>7400.0</v>
      </c>
      <c r="E171" s="15">
        <v>7464.850098</v>
      </c>
      <c r="F171" s="15">
        <v>7369.250977</v>
      </c>
      <c r="G171" s="15">
        <v>856691.0</v>
      </c>
      <c r="H171" s="19">
        <f t="shared" si="1"/>
        <v>-0.01873188405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>
        <v>44594.0</v>
      </c>
      <c r="B172" s="15">
        <v>7580.0</v>
      </c>
      <c r="C172" s="15">
        <v>7672.0</v>
      </c>
      <c r="D172" s="15">
        <v>7430.0</v>
      </c>
      <c r="E172" s="15">
        <v>7482.5</v>
      </c>
      <c r="F172" s="15">
        <v>7386.674805</v>
      </c>
      <c r="G172" s="15">
        <v>310590.0</v>
      </c>
      <c r="H172" s="19">
        <f t="shared" si="1"/>
        <v>0.002364401397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>
        <v>44595.0</v>
      </c>
      <c r="B173" s="15">
        <v>7504.0</v>
      </c>
      <c r="C173" s="15">
        <v>7526.399902</v>
      </c>
      <c r="D173" s="15">
        <v>7260.049805</v>
      </c>
      <c r="E173" s="15">
        <v>7293.850098</v>
      </c>
      <c r="F173" s="15">
        <v>7200.440918</v>
      </c>
      <c r="G173" s="15">
        <v>316939.0</v>
      </c>
      <c r="H173" s="19">
        <f t="shared" si="1"/>
        <v>-0.02521214861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>
        <v>44596.0</v>
      </c>
      <c r="B174" s="15">
        <v>7300.0</v>
      </c>
      <c r="C174" s="15">
        <v>7493.0</v>
      </c>
      <c r="D174" s="15">
        <v>7205.299805</v>
      </c>
      <c r="E174" s="15">
        <v>7424.799805</v>
      </c>
      <c r="F174" s="15">
        <v>7329.713379</v>
      </c>
      <c r="G174" s="15">
        <v>327785.0</v>
      </c>
      <c r="H174" s="19">
        <f t="shared" si="1"/>
        <v>0.01795344095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>
        <v>44599.0</v>
      </c>
      <c r="B175" s="15">
        <v>7490.0</v>
      </c>
      <c r="C175" s="15">
        <v>7700.0</v>
      </c>
      <c r="D175" s="15">
        <v>7425.0</v>
      </c>
      <c r="E175" s="15">
        <v>7640.049805</v>
      </c>
      <c r="F175" s="15">
        <v>7542.206543</v>
      </c>
      <c r="G175" s="15">
        <v>407494.0</v>
      </c>
      <c r="H175" s="19">
        <f t="shared" si="1"/>
        <v>0.02899068065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>
        <v>44600.0</v>
      </c>
      <c r="B176" s="15">
        <v>7706.0</v>
      </c>
      <c r="C176" s="15">
        <v>7833.0</v>
      </c>
      <c r="D176" s="15">
        <v>7578.850098</v>
      </c>
      <c r="E176" s="15">
        <v>7615.600098</v>
      </c>
      <c r="F176" s="15">
        <v>7518.070313</v>
      </c>
      <c r="G176" s="15">
        <v>637281.0</v>
      </c>
      <c r="H176" s="19">
        <f t="shared" si="1"/>
        <v>-0.003200202567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>
        <v>44601.0</v>
      </c>
      <c r="B177" s="15">
        <v>7660.0</v>
      </c>
      <c r="C177" s="15">
        <v>7725.0</v>
      </c>
      <c r="D177" s="15">
        <v>7651.0</v>
      </c>
      <c r="E177" s="15">
        <v>7667.700195</v>
      </c>
      <c r="F177" s="15">
        <v>7569.50293</v>
      </c>
      <c r="G177" s="15">
        <v>149046.0</v>
      </c>
      <c r="H177" s="19">
        <f t="shared" si="1"/>
        <v>0.006841233301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>
        <v>44602.0</v>
      </c>
      <c r="B178" s="15">
        <v>7700.0</v>
      </c>
      <c r="C178" s="15">
        <v>7707.399902</v>
      </c>
      <c r="D178" s="15">
        <v>7560.649902</v>
      </c>
      <c r="E178" s="15">
        <v>7603.600098</v>
      </c>
      <c r="F178" s="15">
        <v>7506.224121</v>
      </c>
      <c r="G178" s="15">
        <v>137948.0</v>
      </c>
      <c r="H178" s="19">
        <f t="shared" si="1"/>
        <v>-0.008359755255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>
        <v>44603.0</v>
      </c>
      <c r="B179" s="15">
        <v>7455.0</v>
      </c>
      <c r="C179" s="15">
        <v>7560.0</v>
      </c>
      <c r="D179" s="15">
        <v>7350.0</v>
      </c>
      <c r="E179" s="15">
        <v>7397.600098</v>
      </c>
      <c r="F179" s="15">
        <v>7302.862305</v>
      </c>
      <c r="G179" s="15">
        <v>197308.0</v>
      </c>
      <c r="H179" s="19">
        <f t="shared" si="1"/>
        <v>-0.02709242955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>
        <v>44606.0</v>
      </c>
      <c r="B180" s="15">
        <v>7020.0</v>
      </c>
      <c r="C180" s="15">
        <v>7139.149902</v>
      </c>
      <c r="D180" s="15">
        <v>6872.5</v>
      </c>
      <c r="E180" s="15">
        <v>6911.350098</v>
      </c>
      <c r="F180" s="15">
        <v>6822.839355</v>
      </c>
      <c r="G180" s="15">
        <v>379926.0</v>
      </c>
      <c r="H180" s="19">
        <f t="shared" si="1"/>
        <v>-0.06573077668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>
        <v>44607.0</v>
      </c>
      <c r="B181" s="15">
        <v>7020.0</v>
      </c>
      <c r="C181" s="15">
        <v>7145.799805</v>
      </c>
      <c r="D181" s="15">
        <v>6701.0</v>
      </c>
      <c r="E181" s="15">
        <v>7111.049805</v>
      </c>
      <c r="F181" s="15">
        <v>7019.981445</v>
      </c>
      <c r="G181" s="15">
        <v>442208.0</v>
      </c>
      <c r="H181" s="19">
        <f t="shared" si="1"/>
        <v>0.02889445682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>
        <v>44608.0</v>
      </c>
      <c r="B182" s="15">
        <v>7235.0</v>
      </c>
      <c r="C182" s="15">
        <v>7269.0</v>
      </c>
      <c r="D182" s="15">
        <v>6960.0</v>
      </c>
      <c r="E182" s="15">
        <v>6998.5</v>
      </c>
      <c r="F182" s="15">
        <v>6908.873047</v>
      </c>
      <c r="G182" s="15">
        <v>260130.0</v>
      </c>
      <c r="H182" s="19">
        <f t="shared" si="1"/>
        <v>-0.01582745278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>
        <v>44609.0</v>
      </c>
      <c r="B183" s="15">
        <v>7040.299805</v>
      </c>
      <c r="C183" s="15">
        <v>7175.899902</v>
      </c>
      <c r="D183" s="15">
        <v>6902.100098</v>
      </c>
      <c r="E183" s="15">
        <v>6941.25</v>
      </c>
      <c r="F183" s="15">
        <v>6852.356445</v>
      </c>
      <c r="G183" s="15">
        <v>189183.0</v>
      </c>
      <c r="H183" s="19">
        <f t="shared" si="1"/>
        <v>-0.008180324355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>
        <v>44610.0</v>
      </c>
      <c r="B184" s="15">
        <v>6900.0</v>
      </c>
      <c r="C184" s="15">
        <v>7039.0</v>
      </c>
      <c r="D184" s="15">
        <v>6860.299805</v>
      </c>
      <c r="E184" s="15">
        <v>6985.5</v>
      </c>
      <c r="F184" s="15">
        <v>6896.039551</v>
      </c>
      <c r="G184" s="15">
        <v>124944.0</v>
      </c>
      <c r="H184" s="19">
        <f t="shared" si="1"/>
        <v>0.006374932469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>
        <v>44613.0</v>
      </c>
      <c r="B185" s="15">
        <v>6915.0</v>
      </c>
      <c r="C185" s="15">
        <v>6943.600098</v>
      </c>
      <c r="D185" s="15">
        <v>6710.399902</v>
      </c>
      <c r="E185" s="15">
        <v>6733.0</v>
      </c>
      <c r="F185" s="15">
        <v>6646.773438</v>
      </c>
      <c r="G185" s="15">
        <v>235154.0</v>
      </c>
      <c r="H185" s="19">
        <f t="shared" si="1"/>
        <v>-0.03614630306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>
        <v>44614.0</v>
      </c>
      <c r="B186" s="15">
        <v>6422.899902</v>
      </c>
      <c r="C186" s="15">
        <v>6665.0</v>
      </c>
      <c r="D186" s="15">
        <v>6422.899902</v>
      </c>
      <c r="E186" s="15">
        <v>6560.850098</v>
      </c>
      <c r="F186" s="15">
        <v>6476.828125</v>
      </c>
      <c r="G186" s="15">
        <v>289125.0</v>
      </c>
      <c r="H186" s="19">
        <f t="shared" si="1"/>
        <v>-0.02556808288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>
        <v>44615.0</v>
      </c>
      <c r="B187" s="15">
        <v>6650.0</v>
      </c>
      <c r="C187" s="15">
        <v>6760.0</v>
      </c>
      <c r="D187" s="15">
        <v>6565.0</v>
      </c>
      <c r="E187" s="15">
        <v>6603.75</v>
      </c>
      <c r="F187" s="15">
        <v>6519.178223</v>
      </c>
      <c r="G187" s="15">
        <v>182581.0</v>
      </c>
      <c r="H187" s="19">
        <f t="shared" si="1"/>
        <v>0.00653877186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>
        <v>44616.0</v>
      </c>
      <c r="B188" s="15">
        <v>6380.0</v>
      </c>
      <c r="C188" s="15">
        <v>6428.75</v>
      </c>
      <c r="D188" s="15">
        <v>5990.0</v>
      </c>
      <c r="E188" s="15">
        <v>6074.100098</v>
      </c>
      <c r="F188" s="15">
        <v>5996.311523</v>
      </c>
      <c r="G188" s="15">
        <v>541664.0</v>
      </c>
      <c r="H188" s="19">
        <f t="shared" si="1"/>
        <v>-0.08020441446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>
        <v>44617.0</v>
      </c>
      <c r="B189" s="15">
        <v>6350.0</v>
      </c>
      <c r="C189" s="15">
        <v>6534.899902</v>
      </c>
      <c r="D189" s="15">
        <v>6350.0</v>
      </c>
      <c r="E189" s="15">
        <v>6499.75</v>
      </c>
      <c r="F189" s="15">
        <v>6416.510742</v>
      </c>
      <c r="G189" s="15">
        <v>333438.0</v>
      </c>
      <c r="H189" s="19">
        <f t="shared" si="1"/>
        <v>0.07007620802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>
        <v>44620.0</v>
      </c>
      <c r="B190" s="15">
        <v>6465.0</v>
      </c>
      <c r="C190" s="15">
        <v>6480.0</v>
      </c>
      <c r="D190" s="15">
        <v>6282.049805</v>
      </c>
      <c r="E190" s="15">
        <v>6431.850098</v>
      </c>
      <c r="F190" s="15">
        <v>6349.47998</v>
      </c>
      <c r="G190" s="15">
        <v>294069.0</v>
      </c>
      <c r="H190" s="19">
        <f t="shared" si="1"/>
        <v>-0.01044654056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>
        <v>44622.0</v>
      </c>
      <c r="B191" s="15">
        <v>6374.0</v>
      </c>
      <c r="C191" s="15">
        <v>6629.0</v>
      </c>
      <c r="D191" s="15">
        <v>6340.049805</v>
      </c>
      <c r="E191" s="15">
        <v>6564.799805</v>
      </c>
      <c r="F191" s="15">
        <v>6480.727539</v>
      </c>
      <c r="G191" s="15">
        <v>330743.0</v>
      </c>
      <c r="H191" s="19">
        <f t="shared" si="1"/>
        <v>0.02067052325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>
        <v>44623.0</v>
      </c>
      <c r="B192" s="15">
        <v>6744.399902</v>
      </c>
      <c r="C192" s="15">
        <v>6789.0</v>
      </c>
      <c r="D192" s="15">
        <v>6617.0</v>
      </c>
      <c r="E192" s="15">
        <v>6659.549805</v>
      </c>
      <c r="F192" s="15">
        <v>6574.263672</v>
      </c>
      <c r="G192" s="15">
        <v>206261.0</v>
      </c>
      <c r="H192" s="19">
        <f t="shared" si="1"/>
        <v>0.01443303723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>
        <v>44624.0</v>
      </c>
      <c r="B193" s="15">
        <v>6635.0</v>
      </c>
      <c r="C193" s="15">
        <v>6800.0</v>
      </c>
      <c r="D193" s="15">
        <v>6518.0</v>
      </c>
      <c r="E193" s="15">
        <v>6673.600098</v>
      </c>
      <c r="F193" s="15">
        <v>6588.133789</v>
      </c>
      <c r="G193" s="15">
        <v>298568.0</v>
      </c>
      <c r="H193" s="19">
        <f t="shared" si="1"/>
        <v>0.002109796219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>
        <v>44627.0</v>
      </c>
      <c r="B194" s="15">
        <v>6571.0</v>
      </c>
      <c r="C194" s="15">
        <v>6637.0</v>
      </c>
      <c r="D194" s="15">
        <v>6465.0</v>
      </c>
      <c r="E194" s="15">
        <v>6554.75</v>
      </c>
      <c r="F194" s="15">
        <v>6470.806152</v>
      </c>
      <c r="G194" s="15">
        <v>171241.0</v>
      </c>
      <c r="H194" s="19">
        <f t="shared" si="1"/>
        <v>-0.01780899309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>
        <v>44628.0</v>
      </c>
      <c r="B195" s="15">
        <v>6554.100098</v>
      </c>
      <c r="C195" s="15">
        <v>6656.25</v>
      </c>
      <c r="D195" s="15">
        <v>6486.0</v>
      </c>
      <c r="E195" s="15">
        <v>6572.700195</v>
      </c>
      <c r="F195" s="15">
        <v>6488.526855</v>
      </c>
      <c r="G195" s="15">
        <v>189439.0</v>
      </c>
      <c r="H195" s="19">
        <f t="shared" si="1"/>
        <v>0.00273850185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>
        <v>44629.0</v>
      </c>
      <c r="B196" s="15">
        <v>6664.0</v>
      </c>
      <c r="C196" s="15">
        <v>7060.0</v>
      </c>
      <c r="D196" s="15">
        <v>6580.049805</v>
      </c>
      <c r="E196" s="15">
        <v>6993.0</v>
      </c>
      <c r="F196" s="15">
        <v>6903.443848</v>
      </c>
      <c r="G196" s="15">
        <v>419890.0</v>
      </c>
      <c r="H196" s="19">
        <f t="shared" si="1"/>
        <v>0.06394629186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>
        <v>44630.0</v>
      </c>
      <c r="B197" s="15">
        <v>7247.0</v>
      </c>
      <c r="C197" s="15">
        <v>7290.0</v>
      </c>
      <c r="D197" s="15">
        <v>6990.0</v>
      </c>
      <c r="E197" s="15">
        <v>7010.049805</v>
      </c>
      <c r="F197" s="15">
        <v>6920.275391</v>
      </c>
      <c r="G197" s="15">
        <v>236784.0</v>
      </c>
      <c r="H197" s="19">
        <f t="shared" si="1"/>
        <v>0.002438124553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>
        <v>44631.0</v>
      </c>
      <c r="B198" s="15">
        <v>7010.049805</v>
      </c>
      <c r="C198" s="15">
        <v>7180.0</v>
      </c>
      <c r="D198" s="15">
        <v>6925.299805</v>
      </c>
      <c r="E198" s="15">
        <v>7121.200195</v>
      </c>
      <c r="F198" s="15">
        <v>7030.001953</v>
      </c>
      <c r="G198" s="15">
        <v>197254.0</v>
      </c>
      <c r="H198" s="19">
        <f t="shared" si="1"/>
        <v>0.0158558631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>
        <v>44634.0</v>
      </c>
      <c r="B199" s="15">
        <v>7150.0</v>
      </c>
      <c r="C199" s="15">
        <v>7220.0</v>
      </c>
      <c r="D199" s="15">
        <v>7115.0</v>
      </c>
      <c r="E199" s="15">
        <v>7169.649902</v>
      </c>
      <c r="F199" s="15">
        <v>7077.831055</v>
      </c>
      <c r="G199" s="15">
        <v>157696.0</v>
      </c>
      <c r="H199" s="19">
        <f t="shared" si="1"/>
        <v>0.006803587271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>
        <v>44635.0</v>
      </c>
      <c r="B200" s="15">
        <v>7164.0</v>
      </c>
      <c r="C200" s="15">
        <v>7229.700195</v>
      </c>
      <c r="D200" s="15">
        <v>6908.0</v>
      </c>
      <c r="E200" s="15">
        <v>6997.450195</v>
      </c>
      <c r="F200" s="15">
        <v>6907.836426</v>
      </c>
      <c r="G200" s="15">
        <v>198353.0</v>
      </c>
      <c r="H200" s="19">
        <f t="shared" si="1"/>
        <v>-0.02401786829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>
        <v>44636.0</v>
      </c>
      <c r="B201" s="15">
        <v>7140.0</v>
      </c>
      <c r="C201" s="15">
        <v>7249.0</v>
      </c>
      <c r="D201" s="15">
        <v>7075.0</v>
      </c>
      <c r="E201" s="15">
        <v>7213.399902</v>
      </c>
      <c r="F201" s="15">
        <v>7121.020996</v>
      </c>
      <c r="G201" s="15">
        <v>171345.0</v>
      </c>
      <c r="H201" s="19">
        <f t="shared" si="1"/>
        <v>0.03086119958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>
        <v>44637.0</v>
      </c>
      <c r="B202" s="15">
        <v>7300.0</v>
      </c>
      <c r="C202" s="15">
        <v>7625.0</v>
      </c>
      <c r="D202" s="15">
        <v>7137.600098</v>
      </c>
      <c r="E202" s="15">
        <v>7431.75</v>
      </c>
      <c r="F202" s="15">
        <v>7336.574707</v>
      </c>
      <c r="G202" s="15">
        <v>804233.0</v>
      </c>
      <c r="H202" s="19">
        <f t="shared" si="1"/>
        <v>0.03027006695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>
        <v>44641.0</v>
      </c>
      <c r="B203" s="15">
        <v>7520.0</v>
      </c>
      <c r="C203" s="15">
        <v>7527.600098</v>
      </c>
      <c r="D203" s="15">
        <v>7340.100098</v>
      </c>
      <c r="E203" s="15">
        <v>7403.75</v>
      </c>
      <c r="F203" s="15">
        <v>7308.933594</v>
      </c>
      <c r="G203" s="15">
        <v>278972.0</v>
      </c>
      <c r="H203" s="19">
        <f t="shared" si="1"/>
        <v>-0.003767618663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>
        <v>44642.0</v>
      </c>
      <c r="B204" s="15">
        <v>7429.799805</v>
      </c>
      <c r="C204" s="15">
        <v>7554.049805</v>
      </c>
      <c r="D204" s="15">
        <v>7311.0</v>
      </c>
      <c r="E204" s="15">
        <v>7512.600098</v>
      </c>
      <c r="F204" s="15">
        <v>7416.389648</v>
      </c>
      <c r="G204" s="15">
        <v>312549.0</v>
      </c>
      <c r="H204" s="19">
        <f t="shared" si="1"/>
        <v>0.01470202235</v>
      </c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>
        <v>44643.0</v>
      </c>
      <c r="B205" s="15">
        <v>7550.200195</v>
      </c>
      <c r="C205" s="15">
        <v>7722.100098</v>
      </c>
      <c r="D205" s="15">
        <v>7535.0</v>
      </c>
      <c r="E205" s="15">
        <v>7692.0</v>
      </c>
      <c r="F205" s="15">
        <v>7593.491699</v>
      </c>
      <c r="G205" s="15">
        <v>357796.0</v>
      </c>
      <c r="H205" s="19">
        <f t="shared" si="1"/>
        <v>0.02387986844</v>
      </c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>
        <v>44644.0</v>
      </c>
      <c r="B206" s="15">
        <v>7685.0</v>
      </c>
      <c r="C206" s="15">
        <v>7775.0</v>
      </c>
      <c r="D206" s="15">
        <v>7566.600098</v>
      </c>
      <c r="E206" s="15">
        <v>7606.899902</v>
      </c>
      <c r="F206" s="15">
        <v>7509.481445</v>
      </c>
      <c r="G206" s="15">
        <v>286798.0</v>
      </c>
      <c r="H206" s="19">
        <f t="shared" si="1"/>
        <v>-0.01106345528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>
        <v>44645.0</v>
      </c>
      <c r="B207" s="15">
        <v>7649.0</v>
      </c>
      <c r="C207" s="15">
        <v>8534.0</v>
      </c>
      <c r="D207" s="15">
        <v>7600.25</v>
      </c>
      <c r="E207" s="15">
        <v>8438.200195</v>
      </c>
      <c r="F207" s="15">
        <v>8330.135742</v>
      </c>
      <c r="G207" s="15">
        <v>1829120.0</v>
      </c>
      <c r="H207" s="19">
        <f t="shared" si="1"/>
        <v>0.109282402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>
        <v>44648.0</v>
      </c>
      <c r="B208" s="15">
        <v>8465.0</v>
      </c>
      <c r="C208" s="15">
        <v>9160.0</v>
      </c>
      <c r="D208" s="15">
        <v>8180.0</v>
      </c>
      <c r="E208" s="15">
        <v>9035.5</v>
      </c>
      <c r="F208" s="15">
        <v>8919.786133</v>
      </c>
      <c r="G208" s="15">
        <v>3109546.0</v>
      </c>
      <c r="H208" s="19">
        <f t="shared" si="1"/>
        <v>0.07078521381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>
        <v>44649.0</v>
      </c>
      <c r="B209" s="15">
        <v>8970.0</v>
      </c>
      <c r="C209" s="15">
        <v>9024.0</v>
      </c>
      <c r="D209" s="15">
        <v>8500.0</v>
      </c>
      <c r="E209" s="15">
        <v>8552.849609</v>
      </c>
      <c r="F209" s="15">
        <v>8443.317383</v>
      </c>
      <c r="G209" s="15">
        <v>1347710.0</v>
      </c>
      <c r="H209" s="19">
        <f t="shared" si="1"/>
        <v>-0.05341712036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>
        <v>44650.0</v>
      </c>
      <c r="B210" s="15">
        <v>8564.0</v>
      </c>
      <c r="C210" s="15">
        <v>9192.099609</v>
      </c>
      <c r="D210" s="15">
        <v>8460.0</v>
      </c>
      <c r="E210" s="15">
        <v>8996.799805</v>
      </c>
      <c r="F210" s="15">
        <v>8881.581055</v>
      </c>
      <c r="G210" s="15">
        <v>2450372.0</v>
      </c>
      <c r="H210" s="19">
        <f t="shared" si="1"/>
        <v>0.05190669967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>
        <v>44651.0</v>
      </c>
      <c r="B211" s="15">
        <v>9000.0</v>
      </c>
      <c r="C211" s="15">
        <v>9420.0</v>
      </c>
      <c r="D211" s="15">
        <v>8790.5</v>
      </c>
      <c r="E211" s="15">
        <v>8840.150391</v>
      </c>
      <c r="F211" s="15">
        <v>8726.938477</v>
      </c>
      <c r="G211" s="15">
        <v>2086042.0</v>
      </c>
      <c r="H211" s="19">
        <f t="shared" si="1"/>
        <v>-0.01741168164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>
        <v>44652.0</v>
      </c>
      <c r="B212" s="15">
        <v>8884.0</v>
      </c>
      <c r="C212" s="15">
        <v>9142.599609</v>
      </c>
      <c r="D212" s="15">
        <v>8732.0</v>
      </c>
      <c r="E212" s="15">
        <v>8912.799805</v>
      </c>
      <c r="F212" s="15">
        <v>8798.657227</v>
      </c>
      <c r="G212" s="15">
        <v>1414522.0</v>
      </c>
      <c r="H212" s="19">
        <f t="shared" si="1"/>
        <v>0.008218119691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>
        <v>44655.0</v>
      </c>
      <c r="B213" s="15">
        <v>8988.0</v>
      </c>
      <c r="C213" s="15">
        <v>9164.400391</v>
      </c>
      <c r="D213" s="15">
        <v>8931.5</v>
      </c>
      <c r="E213" s="15">
        <v>9009.700195</v>
      </c>
      <c r="F213" s="15">
        <v>8894.316406</v>
      </c>
      <c r="G213" s="15">
        <v>511585.0</v>
      </c>
      <c r="H213" s="19">
        <f t="shared" si="1"/>
        <v>0.0108720483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>
        <v>44656.0</v>
      </c>
      <c r="B214" s="15">
        <v>9090.0</v>
      </c>
      <c r="C214" s="15">
        <v>9090.0</v>
      </c>
      <c r="D214" s="15">
        <v>8850.0</v>
      </c>
      <c r="E214" s="15">
        <v>8878.349609</v>
      </c>
      <c r="F214" s="15">
        <v>8764.648438</v>
      </c>
      <c r="G214" s="15">
        <v>617070.0</v>
      </c>
      <c r="H214" s="19">
        <f t="shared" si="1"/>
        <v>-0.01457879654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>
        <v>44657.0</v>
      </c>
      <c r="B215" s="15">
        <v>8875.0</v>
      </c>
      <c r="C215" s="15">
        <v>8990.0</v>
      </c>
      <c r="D215" s="15">
        <v>8762.0</v>
      </c>
      <c r="E215" s="15">
        <v>8893.650391</v>
      </c>
      <c r="F215" s="15">
        <v>8779.753906</v>
      </c>
      <c r="G215" s="15">
        <v>372750.0</v>
      </c>
      <c r="H215" s="19">
        <f t="shared" si="1"/>
        <v>0.001723381335</v>
      </c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>
        <v>44658.0</v>
      </c>
      <c r="B216" s="15">
        <v>8907.0</v>
      </c>
      <c r="C216" s="15">
        <v>8938.25</v>
      </c>
      <c r="D216" s="15">
        <v>8703.0</v>
      </c>
      <c r="E216" s="15">
        <v>8747.799805</v>
      </c>
      <c r="F216" s="15">
        <v>8635.770508</v>
      </c>
      <c r="G216" s="15">
        <v>343816.0</v>
      </c>
      <c r="H216" s="19">
        <f t="shared" si="1"/>
        <v>-0.01639940627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>
        <v>44659.0</v>
      </c>
      <c r="B217" s="15">
        <v>8791.549805</v>
      </c>
      <c r="C217" s="15">
        <v>9088.0</v>
      </c>
      <c r="D217" s="15">
        <v>8621.0</v>
      </c>
      <c r="E217" s="15">
        <v>8685.200195</v>
      </c>
      <c r="F217" s="15">
        <v>8573.972656</v>
      </c>
      <c r="G217" s="15">
        <v>778818.0</v>
      </c>
      <c r="H217" s="19">
        <f t="shared" si="1"/>
        <v>-0.007156040535</v>
      </c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>
        <v>44662.0</v>
      </c>
      <c r="B218" s="15">
        <v>8723.0</v>
      </c>
      <c r="C218" s="15">
        <v>8820.0</v>
      </c>
      <c r="D218" s="15">
        <v>8620.0</v>
      </c>
      <c r="E218" s="15">
        <v>8711.150391</v>
      </c>
      <c r="F218" s="15">
        <v>8599.59082</v>
      </c>
      <c r="G218" s="15">
        <v>420571.0</v>
      </c>
      <c r="H218" s="19">
        <f t="shared" si="1"/>
        <v>0.002987863885</v>
      </c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>
        <v>44663.0</v>
      </c>
      <c r="B219" s="15">
        <v>8740.0</v>
      </c>
      <c r="C219" s="15">
        <v>8741.0</v>
      </c>
      <c r="D219" s="15">
        <v>8326.400391</v>
      </c>
      <c r="E219" s="15">
        <v>8409.25</v>
      </c>
      <c r="F219" s="15">
        <v>8301.556641</v>
      </c>
      <c r="G219" s="15">
        <v>599014.0</v>
      </c>
      <c r="H219" s="19">
        <f t="shared" si="1"/>
        <v>-0.03465677637</v>
      </c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>
        <v>44664.0</v>
      </c>
      <c r="B220" s="15">
        <v>8470.0</v>
      </c>
      <c r="C220" s="15">
        <v>8635.0</v>
      </c>
      <c r="D220" s="15">
        <v>8350.0</v>
      </c>
      <c r="E220" s="15">
        <v>8383.799805</v>
      </c>
      <c r="F220" s="15">
        <v>8276.431641</v>
      </c>
      <c r="G220" s="15">
        <v>397311.0</v>
      </c>
      <c r="H220" s="19">
        <f t="shared" si="1"/>
        <v>-0.003026452418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>
        <v>44669.0</v>
      </c>
      <c r="B221" s="15">
        <v>8319.0</v>
      </c>
      <c r="C221" s="15">
        <v>8319.0</v>
      </c>
      <c r="D221" s="15">
        <v>7789.799805</v>
      </c>
      <c r="E221" s="15">
        <v>7815.950195</v>
      </c>
      <c r="F221" s="15">
        <v>7715.85498</v>
      </c>
      <c r="G221" s="15">
        <v>685016.0</v>
      </c>
      <c r="H221" s="19">
        <f t="shared" si="1"/>
        <v>-0.06773177118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>
        <v>44670.0</v>
      </c>
      <c r="B222" s="15">
        <v>7944.0</v>
      </c>
      <c r="C222" s="15">
        <v>8040.0</v>
      </c>
      <c r="D222" s="15">
        <v>7580.0</v>
      </c>
      <c r="E222" s="15">
        <v>7693.149902</v>
      </c>
      <c r="F222" s="15">
        <v>7594.626953</v>
      </c>
      <c r="G222" s="15">
        <v>831426.0</v>
      </c>
      <c r="H222" s="19">
        <f t="shared" si="1"/>
        <v>-0.01571149891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>
        <v>44671.0</v>
      </c>
      <c r="B223" s="15">
        <v>7777.950195</v>
      </c>
      <c r="C223" s="15">
        <v>7975.0</v>
      </c>
      <c r="D223" s="15">
        <v>7733.049805</v>
      </c>
      <c r="E223" s="15">
        <v>7807.700195</v>
      </c>
      <c r="F223" s="15">
        <v>7707.709961</v>
      </c>
      <c r="G223" s="15">
        <v>676897.0</v>
      </c>
      <c r="H223" s="19">
        <f t="shared" si="1"/>
        <v>0.01488990783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>
        <v>44672.0</v>
      </c>
      <c r="B224" s="15">
        <v>7940.0</v>
      </c>
      <c r="C224" s="15">
        <v>8190.0</v>
      </c>
      <c r="D224" s="15">
        <v>7825.75</v>
      </c>
      <c r="E224" s="15">
        <v>7903.850098</v>
      </c>
      <c r="F224" s="15">
        <v>7802.628906</v>
      </c>
      <c r="G224" s="15">
        <v>1376486.0</v>
      </c>
      <c r="H224" s="19">
        <f t="shared" si="1"/>
        <v>0.01231475346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>
        <v>44673.0</v>
      </c>
      <c r="B225" s="15">
        <v>7876.0</v>
      </c>
      <c r="C225" s="15">
        <v>8480.0</v>
      </c>
      <c r="D225" s="15">
        <v>7795.0</v>
      </c>
      <c r="E225" s="15">
        <v>8358.0</v>
      </c>
      <c r="F225" s="15">
        <v>8250.962891</v>
      </c>
      <c r="G225" s="15">
        <v>1546038.0</v>
      </c>
      <c r="H225" s="19">
        <f t="shared" si="1"/>
        <v>0.05745932632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>
        <v>44676.0</v>
      </c>
      <c r="B226" s="15">
        <v>8319.0</v>
      </c>
      <c r="C226" s="15">
        <v>8320.0</v>
      </c>
      <c r="D226" s="15">
        <v>7980.0</v>
      </c>
      <c r="E226" s="15">
        <v>8009.399902</v>
      </c>
      <c r="F226" s="15">
        <v>7906.82666</v>
      </c>
      <c r="G226" s="15">
        <v>642502.0</v>
      </c>
      <c r="H226" s="19">
        <f t="shared" si="1"/>
        <v>-0.04170855444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>
        <v>44677.0</v>
      </c>
      <c r="B227" s="15">
        <v>8167.0</v>
      </c>
      <c r="C227" s="15">
        <v>8225.0</v>
      </c>
      <c r="D227" s="15">
        <v>7802.0</v>
      </c>
      <c r="E227" s="15">
        <v>7842.350098</v>
      </c>
      <c r="F227" s="15">
        <v>7741.916504</v>
      </c>
      <c r="G227" s="15">
        <v>636737.0</v>
      </c>
      <c r="H227" s="19">
        <f t="shared" si="1"/>
        <v>-0.02085671911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>
        <v>44678.0</v>
      </c>
      <c r="B228" s="15">
        <v>7842.350098</v>
      </c>
      <c r="C228" s="15">
        <v>8125.5</v>
      </c>
      <c r="D228" s="15">
        <v>7461.0</v>
      </c>
      <c r="E228" s="15">
        <v>7980.850098</v>
      </c>
      <c r="F228" s="15">
        <v>7878.642578</v>
      </c>
      <c r="G228" s="15">
        <v>1383493.0</v>
      </c>
      <c r="H228" s="19">
        <f t="shared" si="1"/>
        <v>0.01766052245</v>
      </c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>
        <v>44679.0</v>
      </c>
      <c r="B229" s="15">
        <v>8052.700195</v>
      </c>
      <c r="C229" s="15">
        <v>8178.649902</v>
      </c>
      <c r="D229" s="15">
        <v>7801.0</v>
      </c>
      <c r="E229" s="15">
        <v>7843.5</v>
      </c>
      <c r="F229" s="15">
        <v>7743.051758</v>
      </c>
      <c r="G229" s="15">
        <v>648047.0</v>
      </c>
      <c r="H229" s="19">
        <f t="shared" si="1"/>
        <v>-0.01720995838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>
        <v>44680.0</v>
      </c>
      <c r="B230" s="15">
        <v>7974.0</v>
      </c>
      <c r="C230" s="15">
        <v>7988.0</v>
      </c>
      <c r="D230" s="15">
        <v>7720.0</v>
      </c>
      <c r="E230" s="15">
        <v>7746.0</v>
      </c>
      <c r="F230" s="15">
        <v>7646.800293</v>
      </c>
      <c r="G230" s="15">
        <v>468423.0</v>
      </c>
      <c r="H230" s="19">
        <f t="shared" si="1"/>
        <v>-0.01243067508</v>
      </c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>
        <v>44683.0</v>
      </c>
      <c r="B231" s="15">
        <v>7690.0</v>
      </c>
      <c r="C231" s="15">
        <v>7817.549805</v>
      </c>
      <c r="D231" s="15">
        <v>7531.0</v>
      </c>
      <c r="E231" s="15">
        <v>7672.25</v>
      </c>
      <c r="F231" s="15">
        <v>7573.994629</v>
      </c>
      <c r="G231" s="15">
        <v>417790.0</v>
      </c>
      <c r="H231" s="19">
        <f t="shared" si="1"/>
        <v>-0.009521043119</v>
      </c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>
        <v>44685.0</v>
      </c>
      <c r="B232" s="15">
        <v>7748.0</v>
      </c>
      <c r="C232" s="15">
        <v>7888.0</v>
      </c>
      <c r="D232" s="15">
        <v>7679.549805</v>
      </c>
      <c r="E232" s="15">
        <v>7776.5</v>
      </c>
      <c r="F232" s="15">
        <v>7676.909668</v>
      </c>
      <c r="G232" s="15">
        <v>495595.0</v>
      </c>
      <c r="H232" s="19">
        <f t="shared" si="1"/>
        <v>0.01358793053</v>
      </c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>
        <v>44686.0</v>
      </c>
      <c r="B233" s="15">
        <v>7815.0</v>
      </c>
      <c r="C233" s="15">
        <v>7940.0</v>
      </c>
      <c r="D233" s="15">
        <v>7754.0</v>
      </c>
      <c r="E233" s="15">
        <v>7826.200195</v>
      </c>
      <c r="F233" s="15">
        <v>7725.973145</v>
      </c>
      <c r="G233" s="15">
        <v>244579.0</v>
      </c>
      <c r="H233" s="19">
        <f t="shared" si="1"/>
        <v>0.006391075034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>
        <v>44687.0</v>
      </c>
      <c r="B234" s="15">
        <v>7575.0</v>
      </c>
      <c r="C234" s="15">
        <v>7721.600098</v>
      </c>
      <c r="D234" s="15">
        <v>7487.0</v>
      </c>
      <c r="E234" s="15">
        <v>7508.0</v>
      </c>
      <c r="F234" s="15">
        <v>7411.848145</v>
      </c>
      <c r="G234" s="15">
        <v>499986.0</v>
      </c>
      <c r="H234" s="19">
        <f t="shared" si="1"/>
        <v>-0.04065832551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>
        <v>44690.0</v>
      </c>
      <c r="B235" s="15">
        <v>7468.0</v>
      </c>
      <c r="C235" s="15">
        <v>7468.0</v>
      </c>
      <c r="D235" s="15">
        <v>7147.0</v>
      </c>
      <c r="E235" s="15">
        <v>7227.299805</v>
      </c>
      <c r="F235" s="15">
        <v>7134.742676</v>
      </c>
      <c r="G235" s="15">
        <v>540875.0</v>
      </c>
      <c r="H235" s="19">
        <f t="shared" si="1"/>
        <v>-0.0373868134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>
        <v>44691.0</v>
      </c>
      <c r="B236" s="15">
        <v>7168.0</v>
      </c>
      <c r="C236" s="15">
        <v>7305.0</v>
      </c>
      <c r="D236" s="15">
        <v>6771.0</v>
      </c>
      <c r="E236" s="15">
        <v>6815.700195</v>
      </c>
      <c r="F236" s="15">
        <v>6728.414551</v>
      </c>
      <c r="G236" s="15">
        <v>602605.0</v>
      </c>
      <c r="H236" s="19">
        <f t="shared" si="1"/>
        <v>-0.05695067606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>
        <v>44692.0</v>
      </c>
      <c r="B237" s="15">
        <v>6801.0</v>
      </c>
      <c r="C237" s="15">
        <v>6990.0</v>
      </c>
      <c r="D237" s="15">
        <v>6432.0</v>
      </c>
      <c r="E237" s="15">
        <v>6872.5</v>
      </c>
      <c r="F237" s="15">
        <v>6784.486816</v>
      </c>
      <c r="G237" s="15">
        <v>1162695.0</v>
      </c>
      <c r="H237" s="19">
        <f t="shared" si="1"/>
        <v>0.008333671285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>
        <v>44693.0</v>
      </c>
      <c r="B238" s="15">
        <v>6805.299805</v>
      </c>
      <c r="C238" s="15">
        <v>6975.0</v>
      </c>
      <c r="D238" s="15">
        <v>6601.549805</v>
      </c>
      <c r="E238" s="15">
        <v>6884.5</v>
      </c>
      <c r="F238" s="15">
        <v>6796.333496</v>
      </c>
      <c r="G238" s="15">
        <v>890703.0</v>
      </c>
      <c r="H238" s="19">
        <f t="shared" si="1"/>
        <v>0.001746089487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>
        <v>44694.0</v>
      </c>
      <c r="B239" s="15">
        <v>7180.0</v>
      </c>
      <c r="C239" s="15">
        <v>8000.0</v>
      </c>
      <c r="D239" s="15">
        <v>7119.200195</v>
      </c>
      <c r="E239" s="15">
        <v>7886.649902</v>
      </c>
      <c r="F239" s="15">
        <v>7785.648926</v>
      </c>
      <c r="G239" s="15">
        <v>2734940.0</v>
      </c>
      <c r="H239" s="19">
        <f t="shared" si="1"/>
        <v>0.1455661126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>
        <v>44697.0</v>
      </c>
      <c r="B240" s="15">
        <v>7960.0</v>
      </c>
      <c r="C240" s="15">
        <v>8261.0</v>
      </c>
      <c r="D240" s="15">
        <v>7913.450195</v>
      </c>
      <c r="E240" s="15">
        <v>8121.149902</v>
      </c>
      <c r="F240" s="15">
        <v>8017.145508</v>
      </c>
      <c r="G240" s="15">
        <v>1483361.0</v>
      </c>
      <c r="H240" s="19">
        <f t="shared" si="1"/>
        <v>0.02973379102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>
        <v>44698.0</v>
      </c>
      <c r="B241" s="15">
        <v>8139.950195</v>
      </c>
      <c r="C241" s="15">
        <v>8234.700195</v>
      </c>
      <c r="D241" s="15">
        <v>8021.0</v>
      </c>
      <c r="E241" s="15">
        <v>8197.549805</v>
      </c>
      <c r="F241" s="15">
        <v>8092.566895</v>
      </c>
      <c r="G241" s="15">
        <v>739730.0</v>
      </c>
      <c r="H241" s="19">
        <f t="shared" si="1"/>
        <v>0.009407522817</v>
      </c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>
        <v>44699.0</v>
      </c>
      <c r="B242" s="15">
        <v>8258.099609</v>
      </c>
      <c r="C242" s="15">
        <v>8499.0</v>
      </c>
      <c r="D242" s="15">
        <v>8245.0</v>
      </c>
      <c r="E242" s="15">
        <v>8437.700195</v>
      </c>
      <c r="F242" s="15">
        <v>8329.642578</v>
      </c>
      <c r="G242" s="15">
        <v>997190.0</v>
      </c>
      <c r="H242" s="19">
        <f t="shared" si="1"/>
        <v>0.02929538651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>
        <v>44700.0</v>
      </c>
      <c r="B243" s="15">
        <v>8075.0</v>
      </c>
      <c r="C243" s="15">
        <v>8317.650391</v>
      </c>
      <c r="D243" s="15">
        <v>8020.0</v>
      </c>
      <c r="E243" s="15">
        <v>8261.5</v>
      </c>
      <c r="F243" s="15">
        <v>8155.69873</v>
      </c>
      <c r="G243" s="15">
        <v>719905.0</v>
      </c>
      <c r="H243" s="19">
        <f t="shared" si="1"/>
        <v>-0.0208824906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>
        <v>44701.0</v>
      </c>
      <c r="B244" s="15">
        <v>8510.0</v>
      </c>
      <c r="C244" s="15">
        <v>8620.5</v>
      </c>
      <c r="D244" s="15">
        <v>8316.0</v>
      </c>
      <c r="E244" s="15">
        <v>8412.400391</v>
      </c>
      <c r="F244" s="15">
        <v>8304.666992</v>
      </c>
      <c r="G244" s="15">
        <v>750432.0</v>
      </c>
      <c r="H244" s="19">
        <f t="shared" si="1"/>
        <v>0.01826549549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>
        <v>44704.0</v>
      </c>
      <c r="B245" s="15">
        <v>8419.950195</v>
      </c>
      <c r="C245" s="15">
        <v>8585.0</v>
      </c>
      <c r="D245" s="15">
        <v>8400.200195</v>
      </c>
      <c r="E245" s="15">
        <v>8541.75</v>
      </c>
      <c r="F245" s="15">
        <v>8432.359375</v>
      </c>
      <c r="G245" s="15">
        <v>546351.0</v>
      </c>
      <c r="H245" s="19">
        <f t="shared" si="1"/>
        <v>0.01537606426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>
        <v>44705.0</v>
      </c>
      <c r="B246" s="15">
        <v>8600.0</v>
      </c>
      <c r="C246" s="15">
        <v>8690.0</v>
      </c>
      <c r="D246" s="15">
        <v>8405.0</v>
      </c>
      <c r="E246" s="15">
        <v>8457.400391</v>
      </c>
      <c r="F246" s="15">
        <v>8349.089844</v>
      </c>
      <c r="G246" s="15">
        <v>563544.0</v>
      </c>
      <c r="H246" s="19">
        <f t="shared" si="1"/>
        <v>-0.009874979834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>
        <v>44706.0</v>
      </c>
      <c r="B247" s="15">
        <v>8581.0</v>
      </c>
      <c r="C247" s="15">
        <v>8589.849609</v>
      </c>
      <c r="D247" s="15">
        <v>8092.0</v>
      </c>
      <c r="E247" s="15">
        <v>8121.200195</v>
      </c>
      <c r="F247" s="15">
        <v>8017.195313</v>
      </c>
      <c r="G247" s="15">
        <v>766623.0</v>
      </c>
      <c r="H247" s="19">
        <f t="shared" si="1"/>
        <v>-0.03975219103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>
        <v>44707.0</v>
      </c>
      <c r="B248" s="15">
        <v>8150.0</v>
      </c>
      <c r="C248" s="15">
        <v>8380.0</v>
      </c>
      <c r="D248" s="15">
        <v>8150.0</v>
      </c>
      <c r="E248" s="15">
        <v>8258.25</v>
      </c>
      <c r="F248" s="15">
        <v>8152.490234</v>
      </c>
      <c r="G248" s="15">
        <v>638433.0</v>
      </c>
      <c r="H248" s="19">
        <f t="shared" si="1"/>
        <v>0.01687556047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>
        <v>44708.0</v>
      </c>
      <c r="B249" s="15">
        <v>8470.0</v>
      </c>
      <c r="C249" s="15">
        <v>8470.0</v>
      </c>
      <c r="D249" s="15">
        <v>8301.200195</v>
      </c>
      <c r="E249" s="15">
        <v>8336.900391</v>
      </c>
      <c r="F249" s="15">
        <v>8230.133789</v>
      </c>
      <c r="G249" s="15">
        <v>418901.0</v>
      </c>
      <c r="H249" s="19">
        <f t="shared" si="1"/>
        <v>0.00952385687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>
        <v>44711.0</v>
      </c>
      <c r="B250" s="15">
        <v>8450.0</v>
      </c>
      <c r="C250" s="15">
        <v>8513.799805</v>
      </c>
      <c r="D250" s="15">
        <v>8015.0</v>
      </c>
      <c r="E250" s="15">
        <v>8076.700195</v>
      </c>
      <c r="F250" s="15">
        <v>7973.265625</v>
      </c>
      <c r="G250" s="15">
        <v>555822.0</v>
      </c>
      <c r="H250" s="19">
        <f t="shared" si="1"/>
        <v>-0.03121066389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>
        <v>44712.0</v>
      </c>
      <c r="B251" s="15">
        <v>8180.0</v>
      </c>
      <c r="C251" s="15">
        <v>8820.0</v>
      </c>
      <c r="D251" s="15">
        <v>8092.25</v>
      </c>
      <c r="E251" s="15">
        <v>8381.099609</v>
      </c>
      <c r="F251" s="15">
        <v>8273.766602</v>
      </c>
      <c r="G251" s="15">
        <v>5673542.0</v>
      </c>
      <c r="H251" s="19">
        <f t="shared" si="1"/>
        <v>0.03768858651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>
        <v>44713.0</v>
      </c>
      <c r="B252" s="15">
        <v>8612.0</v>
      </c>
      <c r="C252" s="15">
        <v>8821.950195</v>
      </c>
      <c r="D252" s="15">
        <v>8525.599609</v>
      </c>
      <c r="E252" s="15">
        <v>8606.0</v>
      </c>
      <c r="F252" s="15">
        <v>8495.786133</v>
      </c>
      <c r="G252" s="15">
        <v>654606.0</v>
      </c>
      <c r="H252" s="19">
        <f t="shared" si="1"/>
        <v>0.02683423435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>
        <v>44714.0</v>
      </c>
      <c r="B253" s="15">
        <v>8649.0</v>
      </c>
      <c r="C253" s="15">
        <v>8689.0</v>
      </c>
      <c r="D253" s="15">
        <v>8560.0</v>
      </c>
      <c r="E253" s="15">
        <v>8629.150391</v>
      </c>
      <c r="F253" s="15">
        <v>8518.640625</v>
      </c>
      <c r="G253" s="15">
        <v>325702.0</v>
      </c>
      <c r="H253" s="19">
        <f t="shared" si="1"/>
        <v>0.002690029166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>
        <v>44715.0</v>
      </c>
      <c r="B254" s="15">
        <v>8740.0</v>
      </c>
      <c r="C254" s="15">
        <v>8775.950195</v>
      </c>
      <c r="D254" s="15">
        <v>8366.299805</v>
      </c>
      <c r="E254" s="15">
        <v>8433.299805</v>
      </c>
      <c r="F254" s="15">
        <v>8325.297852</v>
      </c>
      <c r="G254" s="15">
        <v>354646.0</v>
      </c>
      <c r="H254" s="19">
        <f t="shared" si="1"/>
        <v>-0.02269639271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>
        <v>44718.0</v>
      </c>
      <c r="B255" s="15">
        <v>8400.0</v>
      </c>
      <c r="C255" s="15">
        <v>8758.400391</v>
      </c>
      <c r="D255" s="15">
        <v>8324.0</v>
      </c>
      <c r="E255" s="15">
        <v>8696.25</v>
      </c>
      <c r="F255" s="15">
        <v>8584.880859</v>
      </c>
      <c r="G255" s="15">
        <v>685885.0</v>
      </c>
      <c r="H255" s="19">
        <f t="shared" si="1"/>
        <v>0.03117998898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>
        <v>44719.0</v>
      </c>
      <c r="B256" s="15">
        <v>8680.0</v>
      </c>
      <c r="C256" s="15">
        <v>8770.0</v>
      </c>
      <c r="D256" s="15">
        <v>8582.0</v>
      </c>
      <c r="E256" s="15">
        <v>8618.349609</v>
      </c>
      <c r="F256" s="15">
        <v>8507.977539</v>
      </c>
      <c r="G256" s="15">
        <v>393626.0</v>
      </c>
      <c r="H256" s="19">
        <f t="shared" si="1"/>
        <v>-0.008957929107</v>
      </c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>
        <v>44720.0</v>
      </c>
      <c r="B257" s="15">
        <v>8630.349609</v>
      </c>
      <c r="C257" s="15">
        <v>8710.0</v>
      </c>
      <c r="D257" s="15">
        <v>8552.200195</v>
      </c>
      <c r="E257" s="15">
        <v>8608.950195</v>
      </c>
      <c r="F257" s="15">
        <v>8498.699219</v>
      </c>
      <c r="G257" s="15">
        <v>210199.0</v>
      </c>
      <c r="H257" s="19">
        <f t="shared" si="1"/>
        <v>-0.00109062807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>
        <v>44721.0</v>
      </c>
      <c r="B258" s="15">
        <v>8595.0</v>
      </c>
      <c r="C258" s="15">
        <v>8740.0</v>
      </c>
      <c r="D258" s="15">
        <v>8560.0</v>
      </c>
      <c r="E258" s="15">
        <v>8693.599609</v>
      </c>
      <c r="F258" s="15">
        <v>8582.264648</v>
      </c>
      <c r="G258" s="15">
        <v>339870.0</v>
      </c>
      <c r="H258" s="19">
        <f t="shared" si="1"/>
        <v>0.009832722002</v>
      </c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>
        <v>44722.0</v>
      </c>
      <c r="B259" s="15">
        <v>8620.0</v>
      </c>
      <c r="C259" s="15">
        <v>8665.200195</v>
      </c>
      <c r="D259" s="15">
        <v>8550.0</v>
      </c>
      <c r="E259" s="15">
        <v>8602.900391</v>
      </c>
      <c r="F259" s="15">
        <v>8492.726563</v>
      </c>
      <c r="G259" s="15">
        <v>213882.0</v>
      </c>
      <c r="H259" s="19">
        <f t="shared" si="1"/>
        <v>-0.0104328727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>
        <v>44725.0</v>
      </c>
      <c r="B260" s="15">
        <v>8470.0</v>
      </c>
      <c r="C260" s="15">
        <v>8696.0</v>
      </c>
      <c r="D260" s="15">
        <v>8411.599609</v>
      </c>
      <c r="E260" s="15">
        <v>8462.0</v>
      </c>
      <c r="F260" s="15">
        <v>8353.629883</v>
      </c>
      <c r="G260" s="15">
        <v>487797.0</v>
      </c>
      <c r="H260" s="19">
        <f t="shared" si="1"/>
        <v>-0.01637824275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>
        <v>44726.0</v>
      </c>
      <c r="B261" s="15">
        <v>8439.950195</v>
      </c>
      <c r="C261" s="15">
        <v>8555.5</v>
      </c>
      <c r="D261" s="15">
        <v>8375.0</v>
      </c>
      <c r="E261" s="15">
        <v>8386.75</v>
      </c>
      <c r="F261" s="15">
        <v>8279.344727</v>
      </c>
      <c r="G261" s="15">
        <v>230884.0</v>
      </c>
      <c r="H261" s="19">
        <f t="shared" si="1"/>
        <v>-0.008892696762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>
        <v>44727.0</v>
      </c>
      <c r="B262" s="15">
        <v>8475.0</v>
      </c>
      <c r="C262" s="15">
        <v>8521.799805</v>
      </c>
      <c r="D262" s="15">
        <v>8111.100098</v>
      </c>
      <c r="E262" s="15">
        <v>8159.649902</v>
      </c>
      <c r="F262" s="15">
        <v>8096.180176</v>
      </c>
      <c r="G262" s="15">
        <v>311273.0</v>
      </c>
      <c r="H262" s="19">
        <f t="shared" si="1"/>
        <v>-0.02707843897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>
        <v>44728.0</v>
      </c>
      <c r="B263" s="15">
        <v>8340.0</v>
      </c>
      <c r="C263" s="15">
        <v>8369.0</v>
      </c>
      <c r="D263" s="15">
        <v>7775.0</v>
      </c>
      <c r="E263" s="15">
        <v>7991.899902</v>
      </c>
      <c r="F263" s="15">
        <v>7929.735352</v>
      </c>
      <c r="G263" s="15">
        <v>531165.0</v>
      </c>
      <c r="H263" s="19">
        <f t="shared" si="1"/>
        <v>-0.02055848008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>
        <v>44729.0</v>
      </c>
      <c r="B264" s="15">
        <v>7875.0</v>
      </c>
      <c r="C264" s="15">
        <v>7925.0</v>
      </c>
      <c r="D264" s="15">
        <v>7680.5</v>
      </c>
      <c r="E264" s="15">
        <v>7812.850098</v>
      </c>
      <c r="F264" s="15">
        <v>7752.078125</v>
      </c>
      <c r="G264" s="15">
        <v>645946.0</v>
      </c>
      <c r="H264" s="19">
        <f t="shared" si="1"/>
        <v>-0.02240390973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>
        <v>44732.0</v>
      </c>
      <c r="B265" s="15">
        <v>7810.0</v>
      </c>
      <c r="C265" s="15">
        <v>7812.799805</v>
      </c>
      <c r="D265" s="15">
        <v>7200.0</v>
      </c>
      <c r="E265" s="15">
        <v>7254.850098</v>
      </c>
      <c r="F265" s="15">
        <v>7198.418457</v>
      </c>
      <c r="G265" s="15">
        <v>628149.0</v>
      </c>
      <c r="H265" s="19">
        <f t="shared" si="1"/>
        <v>-0.07142079945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>
        <v>44733.0</v>
      </c>
      <c r="B266" s="15">
        <v>7301.0</v>
      </c>
      <c r="C266" s="15">
        <v>7600.0</v>
      </c>
      <c r="D266" s="15">
        <v>7123.0</v>
      </c>
      <c r="E266" s="15">
        <v>7551.600098</v>
      </c>
      <c r="F266" s="15">
        <v>7492.860352</v>
      </c>
      <c r="G266" s="15">
        <v>954372.0</v>
      </c>
      <c r="H266" s="19">
        <f t="shared" si="1"/>
        <v>0.04090367078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>
        <v>44734.0</v>
      </c>
      <c r="B267" s="15">
        <v>7550.0</v>
      </c>
      <c r="C267" s="15">
        <v>7625.0</v>
      </c>
      <c r="D267" s="15">
        <v>7351.0</v>
      </c>
      <c r="E267" s="15">
        <v>7492.299805</v>
      </c>
      <c r="F267" s="15">
        <v>7434.020996</v>
      </c>
      <c r="G267" s="15">
        <v>542906.0</v>
      </c>
      <c r="H267" s="19">
        <f t="shared" si="1"/>
        <v>-0.007852679198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>
        <v>44735.0</v>
      </c>
      <c r="B268" s="15">
        <v>7500.0</v>
      </c>
      <c r="C268" s="15">
        <v>7848.700195</v>
      </c>
      <c r="D268" s="15">
        <v>7481.600098</v>
      </c>
      <c r="E268" s="15">
        <v>7788.049805</v>
      </c>
      <c r="F268" s="15">
        <v>7727.470703</v>
      </c>
      <c r="G268" s="15">
        <v>562596.0</v>
      </c>
      <c r="H268" s="19">
        <f t="shared" si="1"/>
        <v>0.03947386086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>
        <v>44736.0</v>
      </c>
      <c r="B269" s="15">
        <v>7900.0</v>
      </c>
      <c r="C269" s="15">
        <v>7964.850098</v>
      </c>
      <c r="D269" s="15">
        <v>7738.049805</v>
      </c>
      <c r="E269" s="15">
        <v>7794.350098</v>
      </c>
      <c r="F269" s="15">
        <v>7733.722168</v>
      </c>
      <c r="G269" s="15">
        <v>396405.0</v>
      </c>
      <c r="H269" s="19">
        <f t="shared" si="1"/>
        <v>0.0008089692744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>
        <v>44739.0</v>
      </c>
      <c r="B270" s="15">
        <v>7940.0</v>
      </c>
      <c r="C270" s="15">
        <v>8050.0</v>
      </c>
      <c r="D270" s="15">
        <v>7861.75</v>
      </c>
      <c r="E270" s="15">
        <v>7991.600098</v>
      </c>
      <c r="F270" s="15">
        <v>7929.4375</v>
      </c>
      <c r="G270" s="15">
        <v>403762.0</v>
      </c>
      <c r="H270" s="19">
        <f t="shared" si="1"/>
        <v>0.02530679242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>
        <v>44740.0</v>
      </c>
      <c r="B271" s="15">
        <v>7958.0</v>
      </c>
      <c r="C271" s="15">
        <v>8060.0</v>
      </c>
      <c r="D271" s="15">
        <v>7915.0</v>
      </c>
      <c r="E271" s="15">
        <v>8036.700195</v>
      </c>
      <c r="F271" s="15">
        <v>7974.187012</v>
      </c>
      <c r="G271" s="15">
        <v>273264.0</v>
      </c>
      <c r="H271" s="19">
        <f t="shared" si="1"/>
        <v>0.005643437665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>
        <v>44741.0</v>
      </c>
      <c r="B272" s="15">
        <v>8000.0</v>
      </c>
      <c r="C272" s="15">
        <v>8231.0</v>
      </c>
      <c r="D272" s="15">
        <v>7951.399902</v>
      </c>
      <c r="E272" s="15">
        <v>8186.350098</v>
      </c>
      <c r="F272" s="15">
        <v>8122.672852</v>
      </c>
      <c r="G272" s="15">
        <v>435851.0</v>
      </c>
      <c r="H272" s="19">
        <f t="shared" si="1"/>
        <v>0.01862081443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>
        <v>44742.0</v>
      </c>
      <c r="B273" s="15">
        <v>8225.0</v>
      </c>
      <c r="C273" s="15">
        <v>8329.950195</v>
      </c>
      <c r="D273" s="15">
        <v>8085.0</v>
      </c>
      <c r="E273" s="15">
        <v>8170.549805</v>
      </c>
      <c r="F273" s="15">
        <v>8106.995605</v>
      </c>
      <c r="G273" s="15">
        <v>279462.0</v>
      </c>
      <c r="H273" s="19">
        <f t="shared" si="1"/>
        <v>-0.00193007785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>
        <v>44743.0</v>
      </c>
      <c r="B274" s="15">
        <v>8170.549805</v>
      </c>
      <c r="C274" s="15">
        <v>8239.0</v>
      </c>
      <c r="D274" s="15">
        <v>8022.0</v>
      </c>
      <c r="E274" s="15">
        <v>8152.049805</v>
      </c>
      <c r="F274" s="15">
        <v>8088.63916</v>
      </c>
      <c r="G274" s="15">
        <v>270194.0</v>
      </c>
      <c r="H274" s="19">
        <f t="shared" si="1"/>
        <v>-0.002264229512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>
        <v>44746.0</v>
      </c>
      <c r="B275" s="15">
        <v>8205.0</v>
      </c>
      <c r="C275" s="15">
        <v>8235.0</v>
      </c>
      <c r="D275" s="15">
        <v>8050.100098</v>
      </c>
      <c r="E275" s="15">
        <v>8081.399902</v>
      </c>
      <c r="F275" s="15">
        <v>8018.539063</v>
      </c>
      <c r="G275" s="15">
        <v>155702.0</v>
      </c>
      <c r="H275" s="19">
        <f t="shared" si="1"/>
        <v>-0.00866652004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>
        <v>44747.0</v>
      </c>
      <c r="B276" s="15">
        <v>8124.0</v>
      </c>
      <c r="C276" s="15">
        <v>8148.950195</v>
      </c>
      <c r="D276" s="15">
        <v>7970.0</v>
      </c>
      <c r="E276" s="15">
        <v>8003.200195</v>
      </c>
      <c r="F276" s="15">
        <v>7940.947754</v>
      </c>
      <c r="G276" s="15">
        <v>165819.0</v>
      </c>
      <c r="H276" s="19">
        <f t="shared" si="1"/>
        <v>-0.009676505055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>
        <v>44748.0</v>
      </c>
      <c r="B277" s="15">
        <v>8035.899902</v>
      </c>
      <c r="C277" s="15">
        <v>8090.0</v>
      </c>
      <c r="D277" s="15">
        <v>7912.0</v>
      </c>
      <c r="E277" s="15">
        <v>7973.850098</v>
      </c>
      <c r="F277" s="15">
        <v>7911.825684</v>
      </c>
      <c r="G277" s="15">
        <v>186608.0</v>
      </c>
      <c r="H277" s="19">
        <f t="shared" si="1"/>
        <v>-0.003667295118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>
        <v>44749.0</v>
      </c>
      <c r="B278" s="15">
        <v>8114.0</v>
      </c>
      <c r="C278" s="15">
        <v>8150.0</v>
      </c>
      <c r="D278" s="15">
        <v>8009.0</v>
      </c>
      <c r="E278" s="15">
        <v>8082.899902</v>
      </c>
      <c r="F278" s="15">
        <v>8020.027344</v>
      </c>
      <c r="G278" s="15">
        <v>185172.0</v>
      </c>
      <c r="H278" s="19">
        <f t="shared" si="1"/>
        <v>0.01367592852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>
        <v>44750.0</v>
      </c>
      <c r="B279" s="15">
        <v>8125.0</v>
      </c>
      <c r="C279" s="15">
        <v>8144.850098</v>
      </c>
      <c r="D279" s="15">
        <v>7952.0</v>
      </c>
      <c r="E279" s="15">
        <v>7993.149902</v>
      </c>
      <c r="F279" s="15">
        <v>7930.975586</v>
      </c>
      <c r="G279" s="15">
        <v>194361.0</v>
      </c>
      <c r="H279" s="19">
        <f t="shared" si="1"/>
        <v>-0.01110368817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>
        <v>44753.0</v>
      </c>
      <c r="B280" s="15">
        <v>7948.0</v>
      </c>
      <c r="C280" s="15">
        <v>8120.0</v>
      </c>
      <c r="D280" s="15">
        <v>7815.649902</v>
      </c>
      <c r="E280" s="15">
        <v>8046.0</v>
      </c>
      <c r="F280" s="15">
        <v>7983.414551</v>
      </c>
      <c r="G280" s="15">
        <v>242078.0</v>
      </c>
      <c r="H280" s="19">
        <f t="shared" si="1"/>
        <v>0.006611923791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>
        <v>44754.0</v>
      </c>
      <c r="B281" s="15">
        <v>8000.0</v>
      </c>
      <c r="C281" s="15">
        <v>8075.0</v>
      </c>
      <c r="D281" s="15">
        <v>7933.0</v>
      </c>
      <c r="E281" s="15">
        <v>7958.0</v>
      </c>
      <c r="F281" s="15">
        <v>7896.099121</v>
      </c>
      <c r="G281" s="15">
        <v>149473.0</v>
      </c>
      <c r="H281" s="19">
        <f t="shared" si="1"/>
        <v>-0.01093711161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>
        <v>44755.0</v>
      </c>
      <c r="B282" s="15">
        <v>8004.0</v>
      </c>
      <c r="C282" s="15">
        <v>8017.899902</v>
      </c>
      <c r="D282" s="15">
        <v>7685.0</v>
      </c>
      <c r="E282" s="15">
        <v>7711.399902</v>
      </c>
      <c r="F282" s="15">
        <v>7651.416992</v>
      </c>
      <c r="G282" s="15">
        <v>307560.0</v>
      </c>
      <c r="H282" s="19">
        <f t="shared" si="1"/>
        <v>-0.03098769766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>
        <v>44756.0</v>
      </c>
      <c r="B283" s="15">
        <v>7777.899902</v>
      </c>
      <c r="C283" s="15">
        <v>7844.950195</v>
      </c>
      <c r="D283" s="15">
        <v>7636.0</v>
      </c>
      <c r="E283" s="15">
        <v>7799.549805</v>
      </c>
      <c r="F283" s="15">
        <v>7738.881348</v>
      </c>
      <c r="G283" s="15">
        <v>352503.0</v>
      </c>
      <c r="H283" s="19">
        <f t="shared" si="1"/>
        <v>0.01143111551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>
        <v>44757.0</v>
      </c>
      <c r="B284" s="15">
        <v>7940.0</v>
      </c>
      <c r="C284" s="15">
        <v>8119.0</v>
      </c>
      <c r="D284" s="15">
        <v>7863.0</v>
      </c>
      <c r="E284" s="15">
        <v>8060.600098</v>
      </c>
      <c r="F284" s="15">
        <v>7997.900879</v>
      </c>
      <c r="G284" s="15">
        <v>1018820.0</v>
      </c>
      <c r="H284" s="19">
        <f t="shared" si="1"/>
        <v>0.03346991808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>
        <v>44760.0</v>
      </c>
      <c r="B285" s="15">
        <v>8100.399902</v>
      </c>
      <c r="C285" s="15">
        <v>8185.950195</v>
      </c>
      <c r="D285" s="15">
        <v>8064.0</v>
      </c>
      <c r="E285" s="15">
        <v>8104.049805</v>
      </c>
      <c r="F285" s="15">
        <v>8041.012695</v>
      </c>
      <c r="G285" s="15">
        <v>288203.0</v>
      </c>
      <c r="H285" s="19">
        <f t="shared" si="1"/>
        <v>0.005390381172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>
        <v>44761.0</v>
      </c>
      <c r="B286" s="15">
        <v>8095.0</v>
      </c>
      <c r="C286" s="15">
        <v>8145.0</v>
      </c>
      <c r="D286" s="15">
        <v>8032.0</v>
      </c>
      <c r="E286" s="15">
        <v>8079.399902</v>
      </c>
      <c r="F286" s="15">
        <v>8016.554688</v>
      </c>
      <c r="G286" s="15">
        <v>191826.0</v>
      </c>
      <c r="H286" s="19">
        <f t="shared" si="1"/>
        <v>-0.003041677136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>
        <v>44762.0</v>
      </c>
      <c r="B287" s="15">
        <v>8131.0</v>
      </c>
      <c r="C287" s="15">
        <v>8215.0</v>
      </c>
      <c r="D287" s="15">
        <v>8075.0</v>
      </c>
      <c r="E287" s="15">
        <v>8113.799805</v>
      </c>
      <c r="F287" s="15">
        <v>8050.687012</v>
      </c>
      <c r="G287" s="15">
        <v>250148.0</v>
      </c>
      <c r="H287" s="19">
        <f t="shared" si="1"/>
        <v>0.004257729957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>
        <v>44763.0</v>
      </c>
      <c r="B288" s="15">
        <v>8111.0</v>
      </c>
      <c r="C288" s="15">
        <v>8234.0</v>
      </c>
      <c r="D288" s="15">
        <v>8085.0</v>
      </c>
      <c r="E288" s="15">
        <v>8196.299805</v>
      </c>
      <c r="F288" s="15">
        <v>8132.54541</v>
      </c>
      <c r="G288" s="15">
        <v>220488.0</v>
      </c>
      <c r="H288" s="19">
        <f t="shared" si="1"/>
        <v>0.01016786241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>
        <v>44764.0</v>
      </c>
      <c r="B289" s="15">
        <v>8232.0</v>
      </c>
      <c r="C289" s="15">
        <v>8464.700195</v>
      </c>
      <c r="D289" s="15">
        <v>8210.549805</v>
      </c>
      <c r="E289" s="15">
        <v>8386.299805</v>
      </c>
      <c r="F289" s="15">
        <v>8321.067383</v>
      </c>
      <c r="G289" s="15">
        <v>496087.0</v>
      </c>
      <c r="H289" s="19">
        <f t="shared" si="1"/>
        <v>0.02318119206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>
        <v>44767.0</v>
      </c>
      <c r="B290" s="15">
        <v>8385.0</v>
      </c>
      <c r="C290" s="15">
        <v>8550.0</v>
      </c>
      <c r="D290" s="15">
        <v>8319.200195</v>
      </c>
      <c r="E290" s="15">
        <v>8529.400391</v>
      </c>
      <c r="F290" s="15">
        <v>8463.054688</v>
      </c>
      <c r="G290" s="15">
        <v>388514.0</v>
      </c>
      <c r="H290" s="19">
        <f t="shared" si="1"/>
        <v>0.01706361439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>
        <v>44768.0</v>
      </c>
      <c r="B291" s="15">
        <v>8545.0</v>
      </c>
      <c r="C291" s="15">
        <v>8573.450195</v>
      </c>
      <c r="D291" s="15">
        <v>8302.099609</v>
      </c>
      <c r="E291" s="15">
        <v>8361.299805</v>
      </c>
      <c r="F291" s="15">
        <v>8296.261719</v>
      </c>
      <c r="G291" s="15">
        <v>236934.0</v>
      </c>
      <c r="H291" s="19">
        <f t="shared" si="1"/>
        <v>-0.01970837085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>
        <v>44769.0</v>
      </c>
      <c r="B292" s="15">
        <v>8361.299805</v>
      </c>
      <c r="C292" s="15">
        <v>8500.0</v>
      </c>
      <c r="D292" s="15">
        <v>8343.049805</v>
      </c>
      <c r="E292" s="15">
        <v>8481.400391</v>
      </c>
      <c r="F292" s="15">
        <v>8415.427734</v>
      </c>
      <c r="G292" s="15">
        <v>168885.0</v>
      </c>
      <c r="H292" s="19">
        <f t="shared" si="1"/>
        <v>0.01436386552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>
        <v>44770.0</v>
      </c>
      <c r="B293" s="15">
        <v>8545.0</v>
      </c>
      <c r="C293" s="15">
        <v>8621.0</v>
      </c>
      <c r="D293" s="15">
        <v>8470.049805</v>
      </c>
      <c r="E293" s="15">
        <v>8560.0</v>
      </c>
      <c r="F293" s="15">
        <v>8493.416016</v>
      </c>
      <c r="G293" s="15">
        <v>199445.0</v>
      </c>
      <c r="H293" s="19">
        <f t="shared" si="1"/>
        <v>0.009267291411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>
        <v>44771.0</v>
      </c>
      <c r="B294" s="15">
        <v>8620.0</v>
      </c>
      <c r="C294" s="15">
        <v>8700.0</v>
      </c>
      <c r="D294" s="15">
        <v>8551.0</v>
      </c>
      <c r="E294" s="15">
        <v>8690.049805</v>
      </c>
      <c r="F294" s="15">
        <v>8622.454102</v>
      </c>
      <c r="G294" s="15">
        <v>240863.0</v>
      </c>
      <c r="H294" s="19">
        <f t="shared" si="1"/>
        <v>0.01519273423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>
        <v>44774.0</v>
      </c>
      <c r="B295" s="15">
        <v>8724.0</v>
      </c>
      <c r="C295" s="15">
        <v>8828.650391</v>
      </c>
      <c r="D295" s="15">
        <v>8653.799805</v>
      </c>
      <c r="E295" s="15">
        <v>8720.599609</v>
      </c>
      <c r="F295" s="15">
        <v>8652.766602</v>
      </c>
      <c r="G295" s="15">
        <v>245069.0</v>
      </c>
      <c r="H295" s="19">
        <f t="shared" si="1"/>
        <v>0.003515492395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>
        <v>44775.0</v>
      </c>
      <c r="B296" s="15">
        <v>8702.0</v>
      </c>
      <c r="C296" s="15">
        <v>8704.0</v>
      </c>
      <c r="D296" s="15">
        <v>8590.099609</v>
      </c>
      <c r="E296" s="15">
        <v>8641.75</v>
      </c>
      <c r="F296" s="15">
        <v>8574.530273</v>
      </c>
      <c r="G296" s="15">
        <v>167283.0</v>
      </c>
      <c r="H296" s="19">
        <f t="shared" si="1"/>
        <v>-0.009041764619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>
        <v>44776.0</v>
      </c>
      <c r="B297" s="15">
        <v>8625.0</v>
      </c>
      <c r="C297" s="15">
        <v>8870.0</v>
      </c>
      <c r="D297" s="15">
        <v>8600.0</v>
      </c>
      <c r="E297" s="15">
        <v>8840.299805</v>
      </c>
      <c r="F297" s="15">
        <v>8771.536133</v>
      </c>
      <c r="G297" s="15">
        <v>408450.0</v>
      </c>
      <c r="H297" s="19">
        <f t="shared" si="1"/>
        <v>0.02297564787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>
        <v>44777.0</v>
      </c>
      <c r="B298" s="15">
        <v>8895.0</v>
      </c>
      <c r="C298" s="15">
        <v>9024.950195</v>
      </c>
      <c r="D298" s="15">
        <v>8760.0</v>
      </c>
      <c r="E298" s="15">
        <v>8956.700195</v>
      </c>
      <c r="F298" s="15">
        <v>8887.03125</v>
      </c>
      <c r="G298" s="15">
        <v>422086.0</v>
      </c>
      <c r="H298" s="19">
        <f t="shared" si="1"/>
        <v>0.01316701838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>
        <v>44778.0</v>
      </c>
      <c r="B299" s="15">
        <v>8953.0</v>
      </c>
      <c r="C299" s="15">
        <v>9425.0</v>
      </c>
      <c r="D299" s="15">
        <v>8888.0</v>
      </c>
      <c r="E299" s="15">
        <v>9308.599609</v>
      </c>
      <c r="F299" s="15">
        <v>9236.193359</v>
      </c>
      <c r="G299" s="15">
        <v>1150442.0</v>
      </c>
      <c r="H299" s="19">
        <f t="shared" si="1"/>
        <v>0.03928895758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>
        <v>44781.0</v>
      </c>
      <c r="B300" s="15">
        <v>9321.200195</v>
      </c>
      <c r="C300" s="15">
        <v>9631.0</v>
      </c>
      <c r="D300" s="15">
        <v>9312.549805</v>
      </c>
      <c r="E300" s="15">
        <v>9555.200195</v>
      </c>
      <c r="F300" s="15">
        <v>9480.875</v>
      </c>
      <c r="G300" s="15">
        <v>643666.0</v>
      </c>
      <c r="H300" s="19">
        <f t="shared" si="1"/>
        <v>0.02649169546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>
        <v>44783.0</v>
      </c>
      <c r="B301" s="15">
        <v>9649.0</v>
      </c>
      <c r="C301" s="15">
        <v>9700.75</v>
      </c>
      <c r="D301" s="15">
        <v>9400.0</v>
      </c>
      <c r="E301" s="15">
        <v>9461.5</v>
      </c>
      <c r="F301" s="15">
        <v>9387.904297</v>
      </c>
      <c r="G301" s="15">
        <v>366217.0</v>
      </c>
      <c r="H301" s="19">
        <f t="shared" si="1"/>
        <v>-0.009806199042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>
        <v>44784.0</v>
      </c>
      <c r="B302" s="15">
        <v>9501.25</v>
      </c>
      <c r="C302" s="15">
        <v>9575.0</v>
      </c>
      <c r="D302" s="15">
        <v>9462.299805</v>
      </c>
      <c r="E302" s="15">
        <v>9498.650391</v>
      </c>
      <c r="F302" s="15">
        <v>9424.765625</v>
      </c>
      <c r="G302" s="15">
        <v>241351.0</v>
      </c>
      <c r="H302" s="19">
        <f t="shared" si="1"/>
        <v>0.003926480051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8">
        <v>44785.0</v>
      </c>
      <c r="B303" s="15">
        <v>9500.0</v>
      </c>
      <c r="C303" s="15">
        <v>10374.950195</v>
      </c>
      <c r="D303" s="15">
        <v>9498.650391</v>
      </c>
      <c r="E303" s="15">
        <v>10238.049805</v>
      </c>
      <c r="F303" s="15">
        <v>10158.413086</v>
      </c>
      <c r="G303" s="15">
        <v>1945184.0</v>
      </c>
      <c r="H303" s="19">
        <f t="shared" si="1"/>
        <v>0.0778425759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>
        <v>44789.0</v>
      </c>
      <c r="B304" s="15">
        <v>10430.0</v>
      </c>
      <c r="C304" s="15">
        <v>10719.400391</v>
      </c>
      <c r="D304" s="15">
        <v>10380.650391</v>
      </c>
      <c r="E304" s="15">
        <v>10579.099609</v>
      </c>
      <c r="F304" s="15">
        <v>10496.810547</v>
      </c>
      <c r="G304" s="15">
        <v>885284.0</v>
      </c>
      <c r="H304" s="19">
        <f t="shared" si="1"/>
        <v>0.03331198915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8">
        <v>44790.0</v>
      </c>
      <c r="B305" s="15">
        <v>10623.0</v>
      </c>
      <c r="C305" s="15">
        <v>10760.0</v>
      </c>
      <c r="D305" s="15">
        <v>10482.0</v>
      </c>
      <c r="E305" s="15">
        <v>10684.900391</v>
      </c>
      <c r="F305" s="15">
        <v>10601.788086</v>
      </c>
      <c r="G305" s="15">
        <v>612250.0</v>
      </c>
      <c r="H305" s="19">
        <f t="shared" si="1"/>
        <v>0.01000092502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>
        <v>44791.0</v>
      </c>
      <c r="B306" s="15">
        <v>10688.0</v>
      </c>
      <c r="C306" s="15">
        <v>10699.950195</v>
      </c>
      <c r="D306" s="15">
        <v>10563.0</v>
      </c>
      <c r="E306" s="15">
        <v>10614.150391</v>
      </c>
      <c r="F306" s="15">
        <v>10531.588867</v>
      </c>
      <c r="G306" s="15">
        <v>251023.0</v>
      </c>
      <c r="H306" s="19">
        <f t="shared" si="1"/>
        <v>-0.006621493642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8">
        <v>44792.0</v>
      </c>
      <c r="B307" s="15">
        <v>10614.150391</v>
      </c>
      <c r="C307" s="15">
        <v>10628.650391</v>
      </c>
      <c r="D307" s="15">
        <v>10052.049805</v>
      </c>
      <c r="E307" s="15">
        <v>10138.75</v>
      </c>
      <c r="F307" s="15">
        <v>10059.885742</v>
      </c>
      <c r="G307" s="15">
        <v>501778.0</v>
      </c>
      <c r="H307" s="19">
        <f t="shared" si="1"/>
        <v>-0.04478930235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>
        <v>44795.0</v>
      </c>
      <c r="B308" s="15">
        <v>10099.450195</v>
      </c>
      <c r="C308" s="15">
        <v>10099.450195</v>
      </c>
      <c r="D308" s="15">
        <v>9733.0</v>
      </c>
      <c r="E308" s="15">
        <v>9788.700195</v>
      </c>
      <c r="F308" s="15">
        <v>9712.55957</v>
      </c>
      <c r="G308" s="15">
        <v>415816.0</v>
      </c>
      <c r="H308" s="19">
        <f t="shared" si="1"/>
        <v>-0.03452593318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8">
        <v>44796.0</v>
      </c>
      <c r="B309" s="15">
        <v>9570.0</v>
      </c>
      <c r="C309" s="15">
        <v>9946.700195</v>
      </c>
      <c r="D309" s="15">
        <v>9510.349609</v>
      </c>
      <c r="E309" s="15">
        <v>9618.75</v>
      </c>
      <c r="F309" s="15">
        <v>9543.930664</v>
      </c>
      <c r="G309" s="15">
        <v>602319.0</v>
      </c>
      <c r="H309" s="19">
        <f t="shared" si="1"/>
        <v>-0.01736187559</v>
      </c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>
        <v>44797.0</v>
      </c>
      <c r="B310" s="15">
        <v>9510.0</v>
      </c>
      <c r="C310" s="15">
        <v>9985.0</v>
      </c>
      <c r="D310" s="15">
        <v>9510.0</v>
      </c>
      <c r="E310" s="15">
        <v>9861.0</v>
      </c>
      <c r="F310" s="15">
        <v>9784.296875</v>
      </c>
      <c r="G310" s="15">
        <v>845080.0</v>
      </c>
      <c r="H310" s="19">
        <f t="shared" si="1"/>
        <v>0.02518518519</v>
      </c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8">
        <v>44798.0</v>
      </c>
      <c r="B311" s="15">
        <v>9974.900391</v>
      </c>
      <c r="C311" s="15">
        <v>9975.0</v>
      </c>
      <c r="D311" s="15">
        <v>9603.299805</v>
      </c>
      <c r="E311" s="15">
        <v>9656.599609</v>
      </c>
      <c r="F311" s="15">
        <v>9581.486328</v>
      </c>
      <c r="G311" s="15">
        <v>374149.0</v>
      </c>
      <c r="H311" s="19">
        <f t="shared" si="1"/>
        <v>-0.02072816053</v>
      </c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>
        <v>44799.0</v>
      </c>
      <c r="B312" s="15">
        <v>9600.0</v>
      </c>
      <c r="C312" s="15">
        <v>9686.0</v>
      </c>
      <c r="D312" s="15">
        <v>9301.0</v>
      </c>
      <c r="E312" s="15">
        <v>9349.0</v>
      </c>
      <c r="F312" s="15">
        <v>9276.279297</v>
      </c>
      <c r="G312" s="15">
        <v>625870.0</v>
      </c>
      <c r="H312" s="19">
        <f t="shared" si="1"/>
        <v>-0.03185382241</v>
      </c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8">
        <v>44802.0</v>
      </c>
      <c r="B313" s="15">
        <v>8870.049805</v>
      </c>
      <c r="C313" s="15">
        <v>9048.400391</v>
      </c>
      <c r="D313" s="15">
        <v>8840.0</v>
      </c>
      <c r="E313" s="15">
        <v>8870.849609</v>
      </c>
      <c r="F313" s="15">
        <v>8801.847656</v>
      </c>
      <c r="G313" s="15">
        <v>616555.0</v>
      </c>
      <c r="H313" s="19">
        <f t="shared" si="1"/>
        <v>-0.05114454926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>
        <v>44803.0</v>
      </c>
      <c r="B314" s="15">
        <v>9025.0</v>
      </c>
      <c r="C314" s="15">
        <v>9155.0</v>
      </c>
      <c r="D314" s="15">
        <v>8922.0</v>
      </c>
      <c r="E314" s="15">
        <v>9019.25</v>
      </c>
      <c r="F314" s="15">
        <v>8949.09375</v>
      </c>
      <c r="G314" s="15">
        <v>543634.0</v>
      </c>
      <c r="H314" s="19">
        <f t="shared" si="1"/>
        <v>0.01672899413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8">
        <v>44805.0</v>
      </c>
      <c r="B315" s="15">
        <v>8964.0</v>
      </c>
      <c r="C315" s="15">
        <v>9077.900391</v>
      </c>
      <c r="D315" s="15">
        <v>8842.0</v>
      </c>
      <c r="E315" s="15">
        <v>9020.299805</v>
      </c>
      <c r="F315" s="15">
        <v>8950.135742</v>
      </c>
      <c r="G315" s="15">
        <v>374381.0</v>
      </c>
      <c r="H315" s="19">
        <f t="shared" si="1"/>
        <v>0.0001163960418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>
        <v>44806.0</v>
      </c>
      <c r="B316" s="15">
        <v>9099.0</v>
      </c>
      <c r="C316" s="15">
        <v>9140.0</v>
      </c>
      <c r="D316" s="15">
        <v>8675.0</v>
      </c>
      <c r="E316" s="15">
        <v>8707.25</v>
      </c>
      <c r="F316" s="15">
        <v>8639.520508</v>
      </c>
      <c r="G316" s="15">
        <v>534396.0</v>
      </c>
      <c r="H316" s="19">
        <f t="shared" si="1"/>
        <v>-0.03470503329</v>
      </c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8">
        <v>44809.0</v>
      </c>
      <c r="B317" s="15">
        <v>8759.0</v>
      </c>
      <c r="C317" s="15">
        <v>8943.799805</v>
      </c>
      <c r="D317" s="15">
        <v>8758.849609</v>
      </c>
      <c r="E317" s="15">
        <v>8872.849609</v>
      </c>
      <c r="F317" s="15">
        <v>8803.832031</v>
      </c>
      <c r="G317" s="15">
        <v>291672.0</v>
      </c>
      <c r="H317" s="19">
        <f t="shared" si="1"/>
        <v>0.01901858899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>
        <v>44810.0</v>
      </c>
      <c r="B318" s="15">
        <v>8939.0</v>
      </c>
      <c r="C318" s="15">
        <v>9016.0</v>
      </c>
      <c r="D318" s="15">
        <v>8824.450195</v>
      </c>
      <c r="E318" s="15">
        <v>8846.450195</v>
      </c>
      <c r="F318" s="15">
        <v>8777.638672</v>
      </c>
      <c r="G318" s="15">
        <v>240148.0</v>
      </c>
      <c r="H318" s="19">
        <f t="shared" si="1"/>
        <v>-0.002975302768</v>
      </c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8">
        <v>44811.0</v>
      </c>
      <c r="B319" s="15">
        <v>8828.0</v>
      </c>
      <c r="C319" s="15">
        <v>8897.599609</v>
      </c>
      <c r="D319" s="15">
        <v>8770.650391</v>
      </c>
      <c r="E319" s="15">
        <v>8813.200195</v>
      </c>
      <c r="F319" s="15">
        <v>8744.647461</v>
      </c>
      <c r="G319" s="15">
        <v>174174.0</v>
      </c>
      <c r="H319" s="19">
        <f t="shared" si="1"/>
        <v>-0.003758569739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>
        <v>44812.0</v>
      </c>
      <c r="B320" s="15">
        <v>8835.599609</v>
      </c>
      <c r="C320" s="15">
        <v>8898.799805</v>
      </c>
      <c r="D320" s="15">
        <v>8730.0</v>
      </c>
      <c r="E320" s="15">
        <v>8766.400391</v>
      </c>
      <c r="F320" s="15">
        <v>8698.210938</v>
      </c>
      <c r="G320" s="15">
        <v>170017.0</v>
      </c>
      <c r="H320" s="19">
        <f t="shared" si="1"/>
        <v>-0.005310194137</v>
      </c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8">
        <v>44813.0</v>
      </c>
      <c r="B321" s="15">
        <v>8844.0</v>
      </c>
      <c r="C321" s="15">
        <v>8929.0</v>
      </c>
      <c r="D321" s="15">
        <v>8710.0</v>
      </c>
      <c r="E321" s="15">
        <v>8816.799805</v>
      </c>
      <c r="F321" s="15">
        <v>8748.21875</v>
      </c>
      <c r="G321" s="15">
        <v>294045.0</v>
      </c>
      <c r="H321" s="19">
        <f t="shared" si="1"/>
        <v>0.005749157208</v>
      </c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>
        <v>44816.0</v>
      </c>
      <c r="B322" s="15">
        <v>8873.799805</v>
      </c>
      <c r="C322" s="15">
        <v>8960.0</v>
      </c>
      <c r="D322" s="15">
        <v>8860.0</v>
      </c>
      <c r="E322" s="15">
        <v>8885.400391</v>
      </c>
      <c r="F322" s="15">
        <v>8816.285156</v>
      </c>
      <c r="G322" s="15">
        <v>191956.0</v>
      </c>
      <c r="H322" s="19">
        <f t="shared" si="1"/>
        <v>0.007780667308</v>
      </c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8">
        <v>44817.0</v>
      </c>
      <c r="B323" s="15">
        <v>8940.0</v>
      </c>
      <c r="C323" s="15">
        <v>9270.0</v>
      </c>
      <c r="D323" s="15">
        <v>8922.049805</v>
      </c>
      <c r="E323" s="15">
        <v>9089.200195</v>
      </c>
      <c r="F323" s="15">
        <v>9018.5</v>
      </c>
      <c r="G323" s="15">
        <v>580345.0</v>
      </c>
      <c r="H323" s="19">
        <f t="shared" si="1"/>
        <v>0.02293647951</v>
      </c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>
        <v>44818.0</v>
      </c>
      <c r="B324" s="15">
        <v>8900.0</v>
      </c>
      <c r="C324" s="15">
        <v>9057.5</v>
      </c>
      <c r="D324" s="15">
        <v>8865.0</v>
      </c>
      <c r="E324" s="15">
        <v>8914.700195</v>
      </c>
      <c r="F324" s="15">
        <v>8845.357422</v>
      </c>
      <c r="G324" s="15">
        <v>267989.0</v>
      </c>
      <c r="H324" s="19">
        <f t="shared" si="1"/>
        <v>-0.01919860893</v>
      </c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8">
        <v>44819.0</v>
      </c>
      <c r="B325" s="15">
        <v>9000.0</v>
      </c>
      <c r="C325" s="15">
        <v>9073.200195</v>
      </c>
      <c r="D325" s="15">
        <v>8870.099609</v>
      </c>
      <c r="E325" s="15">
        <v>8885.25</v>
      </c>
      <c r="F325" s="15">
        <v>8816.136719</v>
      </c>
      <c r="G325" s="15">
        <v>183525.0</v>
      </c>
      <c r="H325" s="19">
        <f t="shared" si="1"/>
        <v>-0.00330355417</v>
      </c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>
        <v>44820.0</v>
      </c>
      <c r="B326" s="15">
        <v>8890.0</v>
      </c>
      <c r="C326" s="15">
        <v>8919.0</v>
      </c>
      <c r="D326" s="15">
        <v>8701.0</v>
      </c>
      <c r="E326" s="15">
        <v>8730.299805</v>
      </c>
      <c r="F326" s="15">
        <v>8662.391602</v>
      </c>
      <c r="G326" s="15">
        <v>210484.0</v>
      </c>
      <c r="H326" s="19">
        <f t="shared" si="1"/>
        <v>-0.01743903604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8">
        <v>44823.0</v>
      </c>
      <c r="B327" s="15">
        <v>8769.950195</v>
      </c>
      <c r="C327" s="15">
        <v>8815.200195</v>
      </c>
      <c r="D327" s="15">
        <v>8601.150391</v>
      </c>
      <c r="E327" s="15">
        <v>8696.400391</v>
      </c>
      <c r="F327" s="15">
        <v>8628.755859</v>
      </c>
      <c r="G327" s="15">
        <v>177584.0</v>
      </c>
      <c r="H327" s="19">
        <f t="shared" si="1"/>
        <v>-0.003882961039</v>
      </c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>
        <v>44824.0</v>
      </c>
      <c r="B328" s="15">
        <v>8725.0</v>
      </c>
      <c r="C328" s="15">
        <v>8939.0</v>
      </c>
      <c r="D328" s="15">
        <v>8713.0</v>
      </c>
      <c r="E328" s="15">
        <v>8901.549805</v>
      </c>
      <c r="F328" s="15">
        <v>8832.30957</v>
      </c>
      <c r="G328" s="15">
        <v>237315.0</v>
      </c>
      <c r="H328" s="19">
        <f t="shared" si="1"/>
        <v>0.0235901528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8">
        <v>44825.0</v>
      </c>
      <c r="B329" s="15">
        <v>8904.900391</v>
      </c>
      <c r="C329" s="15">
        <v>8938.0</v>
      </c>
      <c r="D329" s="15">
        <v>8799.0</v>
      </c>
      <c r="E329" s="15">
        <v>8817.5</v>
      </c>
      <c r="F329" s="15">
        <v>8748.913086</v>
      </c>
      <c r="G329" s="15">
        <v>125832.0</v>
      </c>
      <c r="H329" s="19">
        <f t="shared" si="1"/>
        <v>-0.009442154101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>
        <v>44826.0</v>
      </c>
      <c r="B330" s="15">
        <v>8800.0</v>
      </c>
      <c r="C330" s="15">
        <v>9045.049805</v>
      </c>
      <c r="D330" s="15">
        <v>8744.599609</v>
      </c>
      <c r="E330" s="15">
        <v>8990.650391</v>
      </c>
      <c r="F330" s="15">
        <v>8920.716797</v>
      </c>
      <c r="G330" s="15">
        <v>287232.0</v>
      </c>
      <c r="H330" s="19">
        <f t="shared" si="1"/>
        <v>0.01963712969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8">
        <v>44827.0</v>
      </c>
      <c r="B331" s="15">
        <v>8965.0</v>
      </c>
      <c r="C331" s="15">
        <v>9059.0</v>
      </c>
      <c r="D331" s="15">
        <v>8836.0</v>
      </c>
      <c r="E331" s="15">
        <v>8857.099609</v>
      </c>
      <c r="F331" s="15">
        <v>8788.205078</v>
      </c>
      <c r="G331" s="15">
        <v>175906.0</v>
      </c>
      <c r="H331" s="19">
        <f t="shared" si="1"/>
        <v>-0.01485440721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>
        <v>44830.0</v>
      </c>
      <c r="B332" s="15">
        <v>8744.0</v>
      </c>
      <c r="C332" s="15">
        <v>8787.150391</v>
      </c>
      <c r="D332" s="15">
        <v>8511.0</v>
      </c>
      <c r="E332" s="15">
        <v>8534.799805</v>
      </c>
      <c r="F332" s="15">
        <v>8468.412109</v>
      </c>
      <c r="G332" s="15">
        <v>244456.0</v>
      </c>
      <c r="H332" s="19">
        <f t="shared" si="1"/>
        <v>-0.03638886523</v>
      </c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8">
        <v>44831.0</v>
      </c>
      <c r="B333" s="15">
        <v>8581.0</v>
      </c>
      <c r="C333" s="15">
        <v>8643.549805</v>
      </c>
      <c r="D333" s="15">
        <v>8282.650391</v>
      </c>
      <c r="E333" s="15">
        <v>8336.450195</v>
      </c>
      <c r="F333" s="15">
        <v>8271.605469</v>
      </c>
      <c r="G333" s="15">
        <v>235819.0</v>
      </c>
      <c r="H333" s="19">
        <f t="shared" si="1"/>
        <v>-0.02324010106</v>
      </c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>
        <v>44832.0</v>
      </c>
      <c r="B334" s="15">
        <v>8279.900391</v>
      </c>
      <c r="C334" s="15">
        <v>8480.0</v>
      </c>
      <c r="D334" s="15">
        <v>8220.0</v>
      </c>
      <c r="E334" s="15">
        <v>8422.450195</v>
      </c>
      <c r="F334" s="15">
        <v>8356.936523</v>
      </c>
      <c r="G334" s="15">
        <v>230368.0</v>
      </c>
      <c r="H334" s="19">
        <f t="shared" si="1"/>
        <v>0.01031614152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8">
        <v>44833.0</v>
      </c>
      <c r="B335" s="15">
        <v>8500.0</v>
      </c>
      <c r="C335" s="15">
        <v>8557.950195</v>
      </c>
      <c r="D335" s="15">
        <v>8340.0</v>
      </c>
      <c r="E335" s="15">
        <v>8428.599609</v>
      </c>
      <c r="F335" s="15">
        <v>8363.038086</v>
      </c>
      <c r="G335" s="15">
        <v>147171.0</v>
      </c>
      <c r="H335" s="19">
        <f t="shared" si="1"/>
        <v>0.000730121741</v>
      </c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>
        <v>44834.0</v>
      </c>
      <c r="B336" s="15">
        <v>8397.0</v>
      </c>
      <c r="C336" s="15">
        <v>8588.0</v>
      </c>
      <c r="D336" s="15">
        <v>8383.0</v>
      </c>
      <c r="E336" s="15">
        <v>8556.450195</v>
      </c>
      <c r="F336" s="15">
        <v>8489.894531</v>
      </c>
      <c r="G336" s="15">
        <v>183744.0</v>
      </c>
      <c r="H336" s="19">
        <f t="shared" si="1"/>
        <v>0.01516866288</v>
      </c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8">
        <v>44837.0</v>
      </c>
      <c r="B337" s="15">
        <v>8480.0</v>
      </c>
      <c r="C337" s="15">
        <v>8524.599609</v>
      </c>
      <c r="D337" s="15">
        <v>8300.0</v>
      </c>
      <c r="E337" s="15">
        <v>8312.5</v>
      </c>
      <c r="F337" s="15">
        <v>8247.841797</v>
      </c>
      <c r="G337" s="15">
        <v>188648.0</v>
      </c>
      <c r="H337" s="19">
        <f t="shared" si="1"/>
        <v>-0.02851067784</v>
      </c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>
        <v>44838.0</v>
      </c>
      <c r="B338" s="15">
        <v>8488.0</v>
      </c>
      <c r="C338" s="15">
        <v>8508.0</v>
      </c>
      <c r="D338" s="15">
        <v>8424.900391</v>
      </c>
      <c r="E338" s="15">
        <v>8489.299805</v>
      </c>
      <c r="F338" s="15">
        <v>8423.265625</v>
      </c>
      <c r="G338" s="15">
        <v>139119.0</v>
      </c>
      <c r="H338" s="19">
        <f t="shared" si="1"/>
        <v>0.02126914947</v>
      </c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8">
        <v>44840.0</v>
      </c>
      <c r="B339" s="15">
        <v>8590.0</v>
      </c>
      <c r="C339" s="15">
        <v>8665.0</v>
      </c>
      <c r="D339" s="15">
        <v>8533.0</v>
      </c>
      <c r="E339" s="15">
        <v>8575.950195</v>
      </c>
      <c r="F339" s="15">
        <v>8509.242188</v>
      </c>
      <c r="G339" s="15">
        <v>187023.0</v>
      </c>
      <c r="H339" s="19">
        <f t="shared" si="1"/>
        <v>0.01020701259</v>
      </c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>
        <v>44841.0</v>
      </c>
      <c r="B340" s="15">
        <v>8614.900391</v>
      </c>
      <c r="C340" s="15">
        <v>8649.950195</v>
      </c>
      <c r="D340" s="15">
        <v>8533.0</v>
      </c>
      <c r="E340" s="15">
        <v>8550.049805</v>
      </c>
      <c r="F340" s="15">
        <v>8483.543945</v>
      </c>
      <c r="G340" s="15">
        <v>128245.0</v>
      </c>
      <c r="H340" s="19">
        <f t="shared" si="1"/>
        <v>-0.003020118985</v>
      </c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8">
        <v>44844.0</v>
      </c>
      <c r="B341" s="15">
        <v>8450.0</v>
      </c>
      <c r="C341" s="15">
        <v>8625.0</v>
      </c>
      <c r="D341" s="15">
        <v>8425.0</v>
      </c>
      <c r="E341" s="15">
        <v>8584.200195</v>
      </c>
      <c r="F341" s="15">
        <v>8517.428711</v>
      </c>
      <c r="G341" s="15">
        <v>127500.0</v>
      </c>
      <c r="H341" s="19">
        <f t="shared" si="1"/>
        <v>0.003994174394</v>
      </c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>
        <v>44845.0</v>
      </c>
      <c r="B342" s="15">
        <v>8660.0</v>
      </c>
      <c r="C342" s="15">
        <v>8685.0</v>
      </c>
      <c r="D342" s="15">
        <v>8480.049805</v>
      </c>
      <c r="E342" s="15">
        <v>8509.900391</v>
      </c>
      <c r="F342" s="15">
        <v>8443.706055</v>
      </c>
      <c r="G342" s="15">
        <v>117106.0</v>
      </c>
      <c r="H342" s="19">
        <f t="shared" si="1"/>
        <v>-0.008655413703</v>
      </c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8">
        <v>44846.0</v>
      </c>
      <c r="B343" s="15">
        <v>8509.900391</v>
      </c>
      <c r="C343" s="15">
        <v>8549.0</v>
      </c>
      <c r="D343" s="15">
        <v>8330.0</v>
      </c>
      <c r="E343" s="15">
        <v>8360.650391</v>
      </c>
      <c r="F343" s="15">
        <v>8295.617188</v>
      </c>
      <c r="G343" s="15">
        <v>123936.0</v>
      </c>
      <c r="H343" s="19">
        <f t="shared" si="1"/>
        <v>-0.01753839565</v>
      </c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>
        <v>44847.0</v>
      </c>
      <c r="B344" s="15">
        <v>8380.650391</v>
      </c>
      <c r="C344" s="15">
        <v>8424.849609</v>
      </c>
      <c r="D344" s="15">
        <v>8293.599609</v>
      </c>
      <c r="E344" s="15">
        <v>8312.849609</v>
      </c>
      <c r="F344" s="15">
        <v>8248.188477</v>
      </c>
      <c r="G344" s="15">
        <v>98972.0</v>
      </c>
      <c r="H344" s="19">
        <f t="shared" si="1"/>
        <v>-0.005717352092</v>
      </c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8">
        <v>44848.0</v>
      </c>
      <c r="B345" s="15">
        <v>8500.299805</v>
      </c>
      <c r="C345" s="15">
        <v>8565.0</v>
      </c>
      <c r="D345" s="15">
        <v>8415.0</v>
      </c>
      <c r="E345" s="15">
        <v>8465.549805</v>
      </c>
      <c r="F345" s="15">
        <v>8399.701172</v>
      </c>
      <c r="G345" s="15">
        <v>206564.0</v>
      </c>
      <c r="H345" s="19">
        <f t="shared" si="1"/>
        <v>0.01836917582</v>
      </c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>
        <v>44851.0</v>
      </c>
      <c r="B346" s="15">
        <v>8000.0</v>
      </c>
      <c r="C346" s="15">
        <v>8000.0</v>
      </c>
      <c r="D346" s="15">
        <v>7735.0</v>
      </c>
      <c r="E346" s="15">
        <v>7782.799805</v>
      </c>
      <c r="F346" s="15">
        <v>7722.261719</v>
      </c>
      <c r="G346" s="15">
        <v>1199165.0</v>
      </c>
      <c r="H346" s="19">
        <f t="shared" si="1"/>
        <v>-0.0806504026</v>
      </c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8">
        <v>44852.0</v>
      </c>
      <c r="B347" s="15">
        <v>7760.0</v>
      </c>
      <c r="C347" s="15">
        <v>7770.0</v>
      </c>
      <c r="D347" s="15">
        <v>7168.399902</v>
      </c>
      <c r="E347" s="15">
        <v>7204.649902</v>
      </c>
      <c r="F347" s="15">
        <v>7148.608887</v>
      </c>
      <c r="G347" s="15">
        <v>1890522.0</v>
      </c>
      <c r="H347" s="19">
        <f t="shared" si="1"/>
        <v>-0.07428559355</v>
      </c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>
        <v>44853.0</v>
      </c>
      <c r="B348" s="15">
        <v>7190.0</v>
      </c>
      <c r="C348" s="15">
        <v>7445.0</v>
      </c>
      <c r="D348" s="15">
        <v>7190.0</v>
      </c>
      <c r="E348" s="15">
        <v>7314.200195</v>
      </c>
      <c r="F348" s="15">
        <v>7257.307129</v>
      </c>
      <c r="G348" s="15">
        <v>1253682.0</v>
      </c>
      <c r="H348" s="19">
        <f t="shared" si="1"/>
        <v>0.01520549846</v>
      </c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8">
        <v>44854.0</v>
      </c>
      <c r="B349" s="15">
        <v>7314.200195</v>
      </c>
      <c r="C349" s="15">
        <v>7390.0</v>
      </c>
      <c r="D349" s="15">
        <v>7233.149902</v>
      </c>
      <c r="E349" s="15">
        <v>7374.75</v>
      </c>
      <c r="F349" s="15">
        <v>7317.385742</v>
      </c>
      <c r="G349" s="15">
        <v>328303.0</v>
      </c>
      <c r="H349" s="19">
        <f t="shared" si="1"/>
        <v>0.008278390444</v>
      </c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>
        <v>44855.0</v>
      </c>
      <c r="B350" s="15">
        <v>7410.0</v>
      </c>
      <c r="C350" s="15">
        <v>7440.0</v>
      </c>
      <c r="D350" s="15">
        <v>7226.0</v>
      </c>
      <c r="E350" s="15">
        <v>7261.299805</v>
      </c>
      <c r="F350" s="15">
        <v>7204.817871</v>
      </c>
      <c r="G350" s="15">
        <v>300261.0</v>
      </c>
      <c r="H350" s="19">
        <f t="shared" si="1"/>
        <v>-0.01538359877</v>
      </c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8">
        <v>44858.0</v>
      </c>
      <c r="B351" s="15">
        <v>7360.0</v>
      </c>
      <c r="C351" s="15">
        <v>7365.0</v>
      </c>
      <c r="D351" s="15">
        <v>7272.0</v>
      </c>
      <c r="E351" s="15">
        <v>7309.299805</v>
      </c>
      <c r="F351" s="15">
        <v>7252.444824</v>
      </c>
      <c r="G351" s="15">
        <v>66855.0</v>
      </c>
      <c r="H351" s="19">
        <f t="shared" si="1"/>
        <v>0.006610386747</v>
      </c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>
        <v>44859.0</v>
      </c>
      <c r="B352" s="15">
        <v>7344.950195</v>
      </c>
      <c r="C352" s="15">
        <v>7344.950195</v>
      </c>
      <c r="D352" s="15">
        <v>7175.25</v>
      </c>
      <c r="E352" s="15">
        <v>7186.399902</v>
      </c>
      <c r="F352" s="15">
        <v>7130.500977</v>
      </c>
      <c r="G352" s="15">
        <v>222853.0</v>
      </c>
      <c r="H352" s="19">
        <f t="shared" si="1"/>
        <v>-0.01681418279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8">
        <v>44861.0</v>
      </c>
      <c r="B353" s="15">
        <v>7219.850098</v>
      </c>
      <c r="C353" s="15">
        <v>7248.0</v>
      </c>
      <c r="D353" s="15">
        <v>7000.0</v>
      </c>
      <c r="E353" s="15">
        <v>7023.100098</v>
      </c>
      <c r="F353" s="15">
        <v>6968.471191</v>
      </c>
      <c r="G353" s="15">
        <v>360043.0</v>
      </c>
      <c r="H353" s="19">
        <f t="shared" si="1"/>
        <v>-0.02272345072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>
        <v>44862.0</v>
      </c>
      <c r="B354" s="15">
        <v>7021.399902</v>
      </c>
      <c r="C354" s="15">
        <v>7025.299805</v>
      </c>
      <c r="D354" s="15">
        <v>6840.0</v>
      </c>
      <c r="E354" s="15">
        <v>6875.600098</v>
      </c>
      <c r="F354" s="15">
        <v>6822.118652</v>
      </c>
      <c r="G354" s="15">
        <v>459903.0</v>
      </c>
      <c r="H354" s="19">
        <f t="shared" si="1"/>
        <v>-0.02100212128</v>
      </c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8">
        <v>44865.0</v>
      </c>
      <c r="B355" s="15">
        <v>6910.0</v>
      </c>
      <c r="C355" s="15">
        <v>7091.950195</v>
      </c>
      <c r="D355" s="15">
        <v>6900.0</v>
      </c>
      <c r="E355" s="15">
        <v>6995.850098</v>
      </c>
      <c r="F355" s="15">
        <v>6941.433105</v>
      </c>
      <c r="G355" s="15">
        <v>378242.0</v>
      </c>
      <c r="H355" s="19">
        <f t="shared" si="1"/>
        <v>0.0174893825</v>
      </c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>
        <v>44866.0</v>
      </c>
      <c r="B356" s="15">
        <v>7060.0</v>
      </c>
      <c r="C356" s="15">
        <v>7060.0</v>
      </c>
      <c r="D356" s="15">
        <v>6926.200195</v>
      </c>
      <c r="E356" s="15">
        <v>6955.799805</v>
      </c>
      <c r="F356" s="15">
        <v>6901.694336</v>
      </c>
      <c r="G356" s="15">
        <v>237699.0</v>
      </c>
      <c r="H356" s="19">
        <f t="shared" si="1"/>
        <v>-0.005724864375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8">
        <v>44867.0</v>
      </c>
      <c r="B357" s="15">
        <v>6999.950195</v>
      </c>
      <c r="C357" s="15">
        <v>7048.0</v>
      </c>
      <c r="D357" s="15">
        <v>6925.0</v>
      </c>
      <c r="E357" s="15">
        <v>6943.200195</v>
      </c>
      <c r="F357" s="15">
        <v>6889.192871</v>
      </c>
      <c r="G357" s="15">
        <v>212622.0</v>
      </c>
      <c r="H357" s="19">
        <f t="shared" si="1"/>
        <v>-0.001811381919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>
        <v>44868.0</v>
      </c>
      <c r="B358" s="15">
        <v>6943.0</v>
      </c>
      <c r="C358" s="15">
        <v>6943.0</v>
      </c>
      <c r="D358" s="15">
        <v>6880.149902</v>
      </c>
      <c r="E358" s="15">
        <v>6892.649902</v>
      </c>
      <c r="F358" s="15">
        <v>6839.035645</v>
      </c>
      <c r="G358" s="15">
        <v>189007.0</v>
      </c>
      <c r="H358" s="19">
        <f t="shared" si="1"/>
        <v>-0.007280546662</v>
      </c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8">
        <v>44869.0</v>
      </c>
      <c r="B359" s="15">
        <v>6920.0</v>
      </c>
      <c r="C359" s="15">
        <v>6941.0</v>
      </c>
      <c r="D359" s="15">
        <v>6852.25</v>
      </c>
      <c r="E359" s="15">
        <v>6908.049805</v>
      </c>
      <c r="F359" s="15">
        <v>6854.315918</v>
      </c>
      <c r="G359" s="15">
        <v>197189.0</v>
      </c>
      <c r="H359" s="19">
        <f t="shared" si="1"/>
        <v>0.002234249994</v>
      </c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>
        <v>44872.0</v>
      </c>
      <c r="B360" s="15">
        <v>6972.0</v>
      </c>
      <c r="C360" s="15">
        <v>7040.0</v>
      </c>
      <c r="D360" s="15">
        <v>6951.299805</v>
      </c>
      <c r="E360" s="15">
        <v>6976.450195</v>
      </c>
      <c r="F360" s="15">
        <v>6922.184082</v>
      </c>
      <c r="G360" s="15">
        <v>142033.0</v>
      </c>
      <c r="H360" s="19">
        <f t="shared" si="1"/>
        <v>0.009901548473</v>
      </c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8">
        <v>44874.0</v>
      </c>
      <c r="B361" s="15">
        <v>7025.0</v>
      </c>
      <c r="C361" s="15">
        <v>7045.0</v>
      </c>
      <c r="D361" s="15">
        <v>6977.0</v>
      </c>
      <c r="E361" s="15">
        <v>6999.5</v>
      </c>
      <c r="F361" s="15">
        <v>6945.054688</v>
      </c>
      <c r="G361" s="15">
        <v>228537.0</v>
      </c>
      <c r="H361" s="19">
        <f t="shared" si="1"/>
        <v>0.003303944607</v>
      </c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>
        <v>44875.0</v>
      </c>
      <c r="B362" s="15">
        <v>6990.0</v>
      </c>
      <c r="C362" s="15">
        <v>6990.25</v>
      </c>
      <c r="D362" s="15">
        <v>6893.0</v>
      </c>
      <c r="E362" s="15">
        <v>6925.700195</v>
      </c>
      <c r="F362" s="15">
        <v>6871.829102</v>
      </c>
      <c r="G362" s="15">
        <v>104329.0</v>
      </c>
      <c r="H362" s="19">
        <f t="shared" si="1"/>
        <v>-0.0105435824</v>
      </c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8">
        <v>44876.0</v>
      </c>
      <c r="B363" s="15">
        <v>7095.5</v>
      </c>
      <c r="C363" s="15">
        <v>7095.700195</v>
      </c>
      <c r="D363" s="15">
        <v>6941.0</v>
      </c>
      <c r="E363" s="15">
        <v>6962.5</v>
      </c>
      <c r="F363" s="15">
        <v>6908.342285</v>
      </c>
      <c r="G363" s="15">
        <v>287465.0</v>
      </c>
      <c r="H363" s="19">
        <f t="shared" si="1"/>
        <v>0.005313514008</v>
      </c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>
        <v>44879.0</v>
      </c>
      <c r="B364" s="15">
        <v>7030.0</v>
      </c>
      <c r="C364" s="15">
        <v>7070.700195</v>
      </c>
      <c r="D364" s="15">
        <v>6962.0</v>
      </c>
      <c r="E364" s="15">
        <v>6975.25</v>
      </c>
      <c r="F364" s="15">
        <v>6920.993164</v>
      </c>
      <c r="G364" s="15">
        <v>172031.0</v>
      </c>
      <c r="H364" s="19">
        <f t="shared" si="1"/>
        <v>0.001831238779</v>
      </c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8">
        <v>44880.0</v>
      </c>
      <c r="B365" s="15">
        <v>7008.0</v>
      </c>
      <c r="C365" s="15">
        <v>7045.0</v>
      </c>
      <c r="D365" s="15">
        <v>6960.0</v>
      </c>
      <c r="E365" s="15">
        <v>7000.649902</v>
      </c>
      <c r="F365" s="15">
        <v>6946.195801</v>
      </c>
      <c r="G365" s="15">
        <v>140336.0</v>
      </c>
      <c r="H365" s="19">
        <f t="shared" si="1"/>
        <v>0.003641432493</v>
      </c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>
        <v>44881.0</v>
      </c>
      <c r="B366" s="15">
        <v>7026.0</v>
      </c>
      <c r="C366" s="15">
        <v>7026.0</v>
      </c>
      <c r="D366" s="15">
        <v>6931.549805</v>
      </c>
      <c r="E366" s="15">
        <v>6946.350098</v>
      </c>
      <c r="F366" s="15">
        <v>6892.318359</v>
      </c>
      <c r="G366" s="15">
        <v>126933.0</v>
      </c>
      <c r="H366" s="19">
        <f t="shared" si="1"/>
        <v>-0.007756394729</v>
      </c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8">
        <v>44882.0</v>
      </c>
      <c r="B367" s="15">
        <v>6938.0</v>
      </c>
      <c r="C367" s="15">
        <v>6939.0</v>
      </c>
      <c r="D367" s="15">
        <v>6800.0</v>
      </c>
      <c r="E367" s="15">
        <v>6843.200195</v>
      </c>
      <c r="F367" s="15">
        <v>6789.970703</v>
      </c>
      <c r="G367" s="15">
        <v>167046.0</v>
      </c>
      <c r="H367" s="19">
        <f t="shared" si="1"/>
        <v>-0.01484951112</v>
      </c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>
        <v>44883.0</v>
      </c>
      <c r="B368" s="15">
        <v>6888.0</v>
      </c>
      <c r="C368" s="15">
        <v>6969.950195</v>
      </c>
      <c r="D368" s="15">
        <v>6800.0</v>
      </c>
      <c r="E368" s="15">
        <v>6894.600098</v>
      </c>
      <c r="F368" s="15">
        <v>6840.970703</v>
      </c>
      <c r="G368" s="15">
        <v>185870.0</v>
      </c>
      <c r="H368" s="19">
        <f t="shared" si="1"/>
        <v>0.007511091527</v>
      </c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8">
        <v>44886.0</v>
      </c>
      <c r="B369" s="15">
        <v>6899.0</v>
      </c>
      <c r="C369" s="15">
        <v>6910.850098</v>
      </c>
      <c r="D369" s="15">
        <v>6834.0</v>
      </c>
      <c r="E369" s="15">
        <v>6855.75</v>
      </c>
      <c r="F369" s="15">
        <v>6802.422852</v>
      </c>
      <c r="G369" s="15">
        <v>73793.0</v>
      </c>
      <c r="H369" s="19">
        <f t="shared" si="1"/>
        <v>-0.005634858795</v>
      </c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>
        <v>44887.0</v>
      </c>
      <c r="B370" s="15">
        <v>6865.0</v>
      </c>
      <c r="C370" s="15">
        <v>6883.899902</v>
      </c>
      <c r="D370" s="15">
        <v>6811.0</v>
      </c>
      <c r="E370" s="15">
        <v>6826.75</v>
      </c>
      <c r="F370" s="15">
        <v>6773.648438</v>
      </c>
      <c r="G370" s="15">
        <v>99404.0</v>
      </c>
      <c r="H370" s="19">
        <f t="shared" si="1"/>
        <v>-0.004230025891</v>
      </c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8">
        <v>44888.0</v>
      </c>
      <c r="B371" s="15">
        <v>6850.0</v>
      </c>
      <c r="C371" s="15">
        <v>6860.0</v>
      </c>
      <c r="D371" s="15">
        <v>6707.0</v>
      </c>
      <c r="E371" s="15">
        <v>6732.799805</v>
      </c>
      <c r="F371" s="15">
        <v>6680.428711</v>
      </c>
      <c r="G371" s="15">
        <v>195252.0</v>
      </c>
      <c r="H371" s="19">
        <f t="shared" si="1"/>
        <v>-0.0137620676</v>
      </c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>
        <v>44889.0</v>
      </c>
      <c r="B372" s="15">
        <v>6750.700195</v>
      </c>
      <c r="C372" s="15">
        <v>6793.899902</v>
      </c>
      <c r="D372" s="15">
        <v>6601.0</v>
      </c>
      <c r="E372" s="15">
        <v>6618.399902</v>
      </c>
      <c r="F372" s="15">
        <v>6566.918945</v>
      </c>
      <c r="G372" s="15">
        <v>383895.0</v>
      </c>
      <c r="H372" s="19">
        <f t="shared" si="1"/>
        <v>-0.01699143095</v>
      </c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8">
        <v>44890.0</v>
      </c>
      <c r="B373" s="15">
        <v>6666.0</v>
      </c>
      <c r="C373" s="15">
        <v>6811.0</v>
      </c>
      <c r="D373" s="15">
        <v>6619.0</v>
      </c>
      <c r="E373" s="15">
        <v>6779.950195</v>
      </c>
      <c r="F373" s="15">
        <v>6727.212402</v>
      </c>
      <c r="G373" s="15">
        <v>371997.0</v>
      </c>
      <c r="H373" s="19">
        <f t="shared" si="1"/>
        <v>0.0244092674</v>
      </c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>
        <v>44893.0</v>
      </c>
      <c r="B374" s="15">
        <v>6785.549805</v>
      </c>
      <c r="C374" s="15">
        <v>6849.0</v>
      </c>
      <c r="D374" s="15">
        <v>6780.0</v>
      </c>
      <c r="E374" s="15">
        <v>6796.950195</v>
      </c>
      <c r="F374" s="15">
        <v>6744.080566</v>
      </c>
      <c r="G374" s="15">
        <v>145299.0</v>
      </c>
      <c r="H374" s="19">
        <f t="shared" si="1"/>
        <v>0.00250739305</v>
      </c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8">
        <v>44894.0</v>
      </c>
      <c r="B375" s="15">
        <v>6796.0</v>
      </c>
      <c r="C375" s="15">
        <v>6829.899902</v>
      </c>
      <c r="D375" s="15">
        <v>6774.350098</v>
      </c>
      <c r="E375" s="15">
        <v>6781.75</v>
      </c>
      <c r="F375" s="15">
        <v>6728.998535</v>
      </c>
      <c r="G375" s="15">
        <v>112717.0</v>
      </c>
      <c r="H375" s="19">
        <f t="shared" si="1"/>
        <v>-0.002236325788</v>
      </c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>
        <v>44895.0</v>
      </c>
      <c r="B376" s="15">
        <v>6810.0</v>
      </c>
      <c r="C376" s="15">
        <v>7050.0</v>
      </c>
      <c r="D376" s="15">
        <v>6781.0</v>
      </c>
      <c r="E376" s="15">
        <v>7010.25</v>
      </c>
      <c r="F376" s="15">
        <v>6955.721191</v>
      </c>
      <c r="G376" s="15">
        <v>489300.0</v>
      </c>
      <c r="H376" s="19">
        <f t="shared" si="1"/>
        <v>0.03369336823</v>
      </c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8">
        <v>44896.0</v>
      </c>
      <c r="B377" s="15">
        <v>7089.799805</v>
      </c>
      <c r="C377" s="15">
        <v>7195.0</v>
      </c>
      <c r="D377" s="15">
        <v>7050.0</v>
      </c>
      <c r="E377" s="15">
        <v>7071.649902</v>
      </c>
      <c r="F377" s="15">
        <v>7016.643555</v>
      </c>
      <c r="G377" s="15">
        <v>409392.0</v>
      </c>
      <c r="H377" s="19">
        <f t="shared" si="1"/>
        <v>0.008758589494</v>
      </c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>
        <v>44897.0</v>
      </c>
      <c r="B378" s="15">
        <v>7071.649902</v>
      </c>
      <c r="C378" s="15">
        <v>7081.649902</v>
      </c>
      <c r="D378" s="15">
        <v>6950.0</v>
      </c>
      <c r="E378" s="15">
        <v>7033.950195</v>
      </c>
      <c r="F378" s="15">
        <v>6979.236816</v>
      </c>
      <c r="G378" s="15">
        <v>202824.0</v>
      </c>
      <c r="H378" s="19">
        <f t="shared" si="1"/>
        <v>-0.005331104837</v>
      </c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8">
        <v>44900.0</v>
      </c>
      <c r="B379" s="15">
        <v>7040.0</v>
      </c>
      <c r="C379" s="15">
        <v>7047.299805</v>
      </c>
      <c r="D379" s="15">
        <v>6950.0</v>
      </c>
      <c r="E379" s="15">
        <v>6961.399902</v>
      </c>
      <c r="F379" s="15">
        <v>6907.250977</v>
      </c>
      <c r="G379" s="15">
        <v>122569.0</v>
      </c>
      <c r="H379" s="19">
        <f t="shared" si="1"/>
        <v>-0.01031430291</v>
      </c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>
        <v>44901.0</v>
      </c>
      <c r="B380" s="15">
        <v>6950.0</v>
      </c>
      <c r="C380" s="15">
        <v>6950.049805</v>
      </c>
      <c r="D380" s="15">
        <v>6880.0</v>
      </c>
      <c r="E380" s="15">
        <v>6884.649902</v>
      </c>
      <c r="F380" s="15">
        <v>6831.097656</v>
      </c>
      <c r="G380" s="15">
        <v>108351.0</v>
      </c>
      <c r="H380" s="19">
        <f t="shared" si="1"/>
        <v>-0.01102508132</v>
      </c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8">
        <v>44902.0</v>
      </c>
      <c r="B381" s="15">
        <v>6884.0</v>
      </c>
      <c r="C381" s="15">
        <v>6930.0</v>
      </c>
      <c r="D381" s="15">
        <v>6822.0</v>
      </c>
      <c r="E381" s="15">
        <v>6836.700195</v>
      </c>
      <c r="F381" s="15">
        <v>6783.520996</v>
      </c>
      <c r="G381" s="15">
        <v>120687.0</v>
      </c>
      <c r="H381" s="19">
        <f t="shared" si="1"/>
        <v>-0.006964726992</v>
      </c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>
        <v>44903.0</v>
      </c>
      <c r="B382" s="15">
        <v>6840.0</v>
      </c>
      <c r="C382" s="15">
        <v>6887.450195</v>
      </c>
      <c r="D382" s="15">
        <v>6822.0</v>
      </c>
      <c r="E382" s="15">
        <v>6830.350098</v>
      </c>
      <c r="F382" s="15">
        <v>6777.220215</v>
      </c>
      <c r="G382" s="15">
        <v>81118.0</v>
      </c>
      <c r="H382" s="19">
        <f t="shared" si="1"/>
        <v>-0.0009288248452</v>
      </c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8">
        <v>44904.0</v>
      </c>
      <c r="B383" s="15">
        <v>6864.549805</v>
      </c>
      <c r="C383" s="15">
        <v>6868.799805</v>
      </c>
      <c r="D383" s="15">
        <v>6731.100098</v>
      </c>
      <c r="E383" s="15">
        <v>6745.75</v>
      </c>
      <c r="F383" s="15">
        <v>6693.27832</v>
      </c>
      <c r="G383" s="15">
        <v>147894.0</v>
      </c>
      <c r="H383" s="19">
        <f t="shared" si="1"/>
        <v>-0.01238590948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>
        <v>44907.0</v>
      </c>
      <c r="B384" s="15">
        <v>6742.0</v>
      </c>
      <c r="C384" s="15">
        <v>6745.0</v>
      </c>
      <c r="D384" s="15">
        <v>6680.0</v>
      </c>
      <c r="E384" s="15">
        <v>6692.25</v>
      </c>
      <c r="F384" s="15">
        <v>6640.194336</v>
      </c>
      <c r="G384" s="15">
        <v>106993.0</v>
      </c>
      <c r="H384" s="19">
        <f t="shared" si="1"/>
        <v>-0.007930919468</v>
      </c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8">
        <v>44908.0</v>
      </c>
      <c r="B385" s="15">
        <v>6718.0</v>
      </c>
      <c r="C385" s="15">
        <v>6734.0</v>
      </c>
      <c r="D385" s="15">
        <v>6625.0</v>
      </c>
      <c r="E385" s="15">
        <v>6632.600098</v>
      </c>
      <c r="F385" s="15">
        <v>6581.008789</v>
      </c>
      <c r="G385" s="15">
        <v>189805.0</v>
      </c>
      <c r="H385" s="19">
        <f t="shared" si="1"/>
        <v>-0.008913280586</v>
      </c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>
        <v>44909.0</v>
      </c>
      <c r="B386" s="15">
        <v>6659.950195</v>
      </c>
      <c r="C386" s="15">
        <v>6744.399902</v>
      </c>
      <c r="D386" s="15">
        <v>6611.0</v>
      </c>
      <c r="E386" s="15">
        <v>6621.200195</v>
      </c>
      <c r="F386" s="15">
        <v>6569.697266</v>
      </c>
      <c r="G386" s="15">
        <v>195376.0</v>
      </c>
      <c r="H386" s="19">
        <f t="shared" si="1"/>
        <v>-0.001718768331</v>
      </c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8">
        <v>44910.0</v>
      </c>
      <c r="B387" s="15">
        <v>6645.0</v>
      </c>
      <c r="C387" s="15">
        <v>6687.700195</v>
      </c>
      <c r="D387" s="15">
        <v>6545.0</v>
      </c>
      <c r="E387" s="15">
        <v>6550.350098</v>
      </c>
      <c r="F387" s="15">
        <v>6499.398438</v>
      </c>
      <c r="G387" s="15">
        <v>207197.0</v>
      </c>
      <c r="H387" s="19">
        <f t="shared" si="1"/>
        <v>-0.01070049159</v>
      </c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>
        <v>44911.0</v>
      </c>
      <c r="B388" s="15">
        <v>6535.100098</v>
      </c>
      <c r="C388" s="15">
        <v>6544.799805</v>
      </c>
      <c r="D388" s="15">
        <v>6401.0</v>
      </c>
      <c r="E388" s="15">
        <v>6429.399902</v>
      </c>
      <c r="F388" s="15">
        <v>6379.38916</v>
      </c>
      <c r="G388" s="15">
        <v>244998.0</v>
      </c>
      <c r="H388" s="19">
        <f t="shared" si="1"/>
        <v>-0.01846469184</v>
      </c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8">
        <v>44914.0</v>
      </c>
      <c r="B389" s="15">
        <v>6430.0</v>
      </c>
      <c r="C389" s="15">
        <v>6439.950195</v>
      </c>
      <c r="D389" s="15">
        <v>6335.0</v>
      </c>
      <c r="E389" s="15">
        <v>6353.299805</v>
      </c>
      <c r="F389" s="15">
        <v>6303.880859</v>
      </c>
      <c r="G389" s="15">
        <v>171823.0</v>
      </c>
      <c r="H389" s="19">
        <f t="shared" si="1"/>
        <v>-0.01183626748</v>
      </c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>
        <v>44915.0</v>
      </c>
      <c r="B390" s="15">
        <v>6354.0</v>
      </c>
      <c r="C390" s="15">
        <v>6394.0</v>
      </c>
      <c r="D390" s="15">
        <v>6300.0</v>
      </c>
      <c r="E390" s="15">
        <v>6314.25</v>
      </c>
      <c r="F390" s="15">
        <v>6265.134766</v>
      </c>
      <c r="G390" s="15">
        <v>186161.0</v>
      </c>
      <c r="H390" s="19">
        <f t="shared" si="1"/>
        <v>-0.006146381597</v>
      </c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8">
        <v>44916.0</v>
      </c>
      <c r="B391" s="15">
        <v>6355.600098</v>
      </c>
      <c r="C391" s="15">
        <v>6374.0</v>
      </c>
      <c r="D391" s="15">
        <v>6181.200195</v>
      </c>
      <c r="E391" s="15">
        <v>6202.600098</v>
      </c>
      <c r="F391" s="15">
        <v>6154.353516</v>
      </c>
      <c r="G391" s="15">
        <v>186139.0</v>
      </c>
      <c r="H391" s="19">
        <f t="shared" si="1"/>
        <v>-0.01768221119</v>
      </c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>
        <v>44917.0</v>
      </c>
      <c r="B392" s="15">
        <v>6240.0</v>
      </c>
      <c r="C392" s="15">
        <v>6268.0</v>
      </c>
      <c r="D392" s="15">
        <v>6025.0</v>
      </c>
      <c r="E392" s="15">
        <v>6050.799805</v>
      </c>
      <c r="F392" s="15">
        <v>6003.733887</v>
      </c>
      <c r="G392" s="15">
        <v>278555.0</v>
      </c>
      <c r="H392" s="19">
        <f t="shared" si="1"/>
        <v>-0.02447365469</v>
      </c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8">
        <v>44918.0</v>
      </c>
      <c r="B393" s="15">
        <v>6015.0</v>
      </c>
      <c r="C393" s="15">
        <v>6019.950195</v>
      </c>
      <c r="D393" s="15">
        <v>5825.0</v>
      </c>
      <c r="E393" s="15">
        <v>5837.600098</v>
      </c>
      <c r="F393" s="15">
        <v>5792.192383</v>
      </c>
      <c r="G393" s="15">
        <v>355787.0</v>
      </c>
      <c r="H393" s="19">
        <f t="shared" si="1"/>
        <v>-0.03523496296</v>
      </c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>
        <v>44921.0</v>
      </c>
      <c r="B394" s="15">
        <v>5840.0</v>
      </c>
      <c r="C394" s="15">
        <v>6290.0</v>
      </c>
      <c r="D394" s="15">
        <v>5709.049805</v>
      </c>
      <c r="E394" s="15">
        <v>6252.649902</v>
      </c>
      <c r="F394" s="15">
        <v>6204.013672</v>
      </c>
      <c r="G394" s="15">
        <v>619866.0</v>
      </c>
      <c r="H394" s="19">
        <f t="shared" si="1"/>
        <v>0.07109938965</v>
      </c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8">
        <v>44922.0</v>
      </c>
      <c r="B395" s="15">
        <v>6349.700195</v>
      </c>
      <c r="C395" s="15">
        <v>6495.0</v>
      </c>
      <c r="D395" s="15">
        <v>6312.0</v>
      </c>
      <c r="E395" s="15">
        <v>6431.649902</v>
      </c>
      <c r="F395" s="15">
        <v>6381.621582</v>
      </c>
      <c r="G395" s="15">
        <v>471338.0</v>
      </c>
      <c r="H395" s="19">
        <f t="shared" si="1"/>
        <v>0.02862786224</v>
      </c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>
        <v>44923.0</v>
      </c>
      <c r="B396" s="15">
        <v>6365.049805</v>
      </c>
      <c r="C396" s="15">
        <v>6417.0</v>
      </c>
      <c r="D396" s="15">
        <v>6307.950195</v>
      </c>
      <c r="E396" s="15">
        <v>6332.049805</v>
      </c>
      <c r="F396" s="15">
        <v>6282.796387</v>
      </c>
      <c r="G396" s="15">
        <v>203048.0</v>
      </c>
      <c r="H396" s="19">
        <f t="shared" si="1"/>
        <v>-0.01548593262</v>
      </c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8">
        <v>44924.0</v>
      </c>
      <c r="B397" s="15">
        <v>6280.0</v>
      </c>
      <c r="C397" s="15">
        <v>6295.0</v>
      </c>
      <c r="D397" s="15">
        <v>6228.0</v>
      </c>
      <c r="E397" s="15">
        <v>6256.399902</v>
      </c>
      <c r="F397" s="15">
        <v>6207.734863</v>
      </c>
      <c r="G397" s="15">
        <v>137789.0</v>
      </c>
      <c r="H397" s="19">
        <f t="shared" si="1"/>
        <v>-0.01194714276</v>
      </c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>
        <v>44925.0</v>
      </c>
      <c r="B398" s="15">
        <v>6337.0</v>
      </c>
      <c r="C398" s="15">
        <v>6440.0</v>
      </c>
      <c r="D398" s="15">
        <v>6254.0</v>
      </c>
      <c r="E398" s="15">
        <v>6285.899902</v>
      </c>
      <c r="F398" s="15">
        <v>6237.005371</v>
      </c>
      <c r="G398" s="15">
        <v>206310.0</v>
      </c>
      <c r="H398" s="19">
        <f t="shared" si="1"/>
        <v>0.004715171738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8">
        <v>44928.0</v>
      </c>
      <c r="B399" s="15">
        <v>6317.350098</v>
      </c>
      <c r="C399" s="15">
        <v>6388.799805</v>
      </c>
      <c r="D399" s="15">
        <v>6261.200195</v>
      </c>
      <c r="E399" s="15">
        <v>6300.399902</v>
      </c>
      <c r="F399" s="15">
        <v>6251.392578</v>
      </c>
      <c r="G399" s="15">
        <v>181854.0</v>
      </c>
      <c r="H399" s="19">
        <f t="shared" si="1"/>
        <v>0.002306750064</v>
      </c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>
        <v>44929.0</v>
      </c>
      <c r="B400" s="15">
        <v>6321.0</v>
      </c>
      <c r="C400" s="15">
        <v>6446.0</v>
      </c>
      <c r="D400" s="15">
        <v>6275.0</v>
      </c>
      <c r="E400" s="15">
        <v>6416.649902</v>
      </c>
      <c r="F400" s="15">
        <v>6366.738281</v>
      </c>
      <c r="G400" s="15">
        <v>206183.0</v>
      </c>
      <c r="H400" s="19">
        <f t="shared" si="1"/>
        <v>0.01845120973</v>
      </c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8">
        <v>44930.0</v>
      </c>
      <c r="B401" s="15">
        <v>6448.75</v>
      </c>
      <c r="C401" s="15">
        <v>6478.450195</v>
      </c>
      <c r="D401" s="15">
        <v>6352.0</v>
      </c>
      <c r="E401" s="15">
        <v>6369.549805</v>
      </c>
      <c r="F401" s="15">
        <v>6320.004395</v>
      </c>
      <c r="G401" s="15">
        <v>122264.0</v>
      </c>
      <c r="H401" s="19">
        <f t="shared" si="1"/>
        <v>-0.007340294035</v>
      </c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>
        <v>44931.0</v>
      </c>
      <c r="B402" s="15">
        <v>6384.950195</v>
      </c>
      <c r="C402" s="15">
        <v>6396.850098</v>
      </c>
      <c r="D402" s="15">
        <v>6270.0</v>
      </c>
      <c r="E402" s="15">
        <v>6287.450195</v>
      </c>
      <c r="F402" s="15">
        <v>6238.543457</v>
      </c>
      <c r="G402" s="15">
        <v>125426.0</v>
      </c>
      <c r="H402" s="19">
        <f t="shared" si="1"/>
        <v>-0.01288938975</v>
      </c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8">
        <v>44932.0</v>
      </c>
      <c r="B403" s="15">
        <v>6315.0</v>
      </c>
      <c r="C403" s="15">
        <v>6315.0</v>
      </c>
      <c r="D403" s="15">
        <v>6185.0</v>
      </c>
      <c r="E403" s="15">
        <v>6193.899902</v>
      </c>
      <c r="F403" s="15">
        <v>6145.720703</v>
      </c>
      <c r="G403" s="15">
        <v>117274.0</v>
      </c>
      <c r="H403" s="19">
        <f t="shared" si="1"/>
        <v>-0.01487889209</v>
      </c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>
        <v>44935.0</v>
      </c>
      <c r="B404" s="15">
        <v>6270.0</v>
      </c>
      <c r="C404" s="15">
        <v>6323.200195</v>
      </c>
      <c r="D404" s="15">
        <v>6206.0</v>
      </c>
      <c r="E404" s="15">
        <v>6232.0</v>
      </c>
      <c r="F404" s="15">
        <v>6183.524414</v>
      </c>
      <c r="G404" s="15">
        <v>134158.0</v>
      </c>
      <c r="H404" s="19">
        <f t="shared" si="1"/>
        <v>0.00615122921</v>
      </c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8">
        <v>44936.0</v>
      </c>
      <c r="B405" s="15">
        <v>6232.0</v>
      </c>
      <c r="C405" s="15">
        <v>6235.0</v>
      </c>
      <c r="D405" s="15">
        <v>6165.0</v>
      </c>
      <c r="E405" s="15">
        <v>6199.799805</v>
      </c>
      <c r="F405" s="15">
        <v>6151.574707</v>
      </c>
      <c r="G405" s="15">
        <v>101262.0</v>
      </c>
      <c r="H405" s="19">
        <f t="shared" si="1"/>
        <v>-0.005166911906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>
        <v>44937.0</v>
      </c>
      <c r="B406" s="15">
        <v>6230.799805</v>
      </c>
      <c r="C406" s="15">
        <v>6289.600098</v>
      </c>
      <c r="D406" s="15">
        <v>6202.0</v>
      </c>
      <c r="E406" s="15">
        <v>6216.799805</v>
      </c>
      <c r="F406" s="15">
        <v>6168.442871</v>
      </c>
      <c r="G406" s="15">
        <v>109176.0</v>
      </c>
      <c r="H406" s="19">
        <f t="shared" si="1"/>
        <v>0.002742024022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8">
        <v>44938.0</v>
      </c>
      <c r="B407" s="15">
        <v>6217.600098</v>
      </c>
      <c r="C407" s="15">
        <v>6231.149902</v>
      </c>
      <c r="D407" s="15">
        <v>6131.75</v>
      </c>
      <c r="E407" s="15">
        <v>6196.649902</v>
      </c>
      <c r="F407" s="15">
        <v>6148.449707</v>
      </c>
      <c r="G407" s="15">
        <v>95308.0</v>
      </c>
      <c r="H407" s="19">
        <f t="shared" si="1"/>
        <v>-0.003241201845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>
        <v>44939.0</v>
      </c>
      <c r="B408" s="15">
        <v>6225.0</v>
      </c>
      <c r="C408" s="15">
        <v>6261.549805</v>
      </c>
      <c r="D408" s="15">
        <v>6190.0</v>
      </c>
      <c r="E408" s="15">
        <v>6242.25</v>
      </c>
      <c r="F408" s="15">
        <v>6193.694824</v>
      </c>
      <c r="G408" s="15">
        <v>91031.0</v>
      </c>
      <c r="H408" s="19">
        <f t="shared" si="1"/>
        <v>0.007358830775</v>
      </c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8">
        <v>44942.0</v>
      </c>
      <c r="B409" s="15">
        <v>6251.0</v>
      </c>
      <c r="C409" s="15">
        <v>6299.0</v>
      </c>
      <c r="D409" s="15">
        <v>6221.5</v>
      </c>
      <c r="E409" s="15">
        <v>6252.850098</v>
      </c>
      <c r="F409" s="15">
        <v>6204.212402</v>
      </c>
      <c r="G409" s="15">
        <v>81340.0</v>
      </c>
      <c r="H409" s="19">
        <f t="shared" si="1"/>
        <v>0.00169812135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>
        <v>44943.0</v>
      </c>
      <c r="B410" s="15">
        <v>6277.0</v>
      </c>
      <c r="C410" s="15">
        <v>6280.0</v>
      </c>
      <c r="D410" s="15">
        <v>6225.0</v>
      </c>
      <c r="E410" s="15">
        <v>6254.75</v>
      </c>
      <c r="F410" s="15">
        <v>6206.097656</v>
      </c>
      <c r="G410" s="15">
        <v>58291.0</v>
      </c>
      <c r="H410" s="19">
        <f t="shared" si="1"/>
        <v>0.0003038457616</v>
      </c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8">
        <v>44944.0</v>
      </c>
      <c r="B411" s="15">
        <v>6270.0</v>
      </c>
      <c r="C411" s="15">
        <v>6285.0</v>
      </c>
      <c r="D411" s="15">
        <v>6226.600098</v>
      </c>
      <c r="E411" s="15">
        <v>6262.899902</v>
      </c>
      <c r="F411" s="15">
        <v>6214.184082</v>
      </c>
      <c r="G411" s="15">
        <v>64601.0</v>
      </c>
      <c r="H411" s="19">
        <f t="shared" si="1"/>
        <v>0.001302994045</v>
      </c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>
        <v>44945.0</v>
      </c>
      <c r="B412" s="15">
        <v>6283.0</v>
      </c>
      <c r="C412" s="15">
        <v>6424.950195</v>
      </c>
      <c r="D412" s="15">
        <v>6251.049805</v>
      </c>
      <c r="E412" s="15">
        <v>6301.649902</v>
      </c>
      <c r="F412" s="15">
        <v>6252.632813</v>
      </c>
      <c r="G412" s="15">
        <v>220851.0</v>
      </c>
      <c r="H412" s="19">
        <f t="shared" si="1"/>
        <v>0.006187229655</v>
      </c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8">
        <v>44946.0</v>
      </c>
      <c r="B413" s="15">
        <v>6301.0</v>
      </c>
      <c r="C413" s="15">
        <v>6398.799805</v>
      </c>
      <c r="D413" s="15">
        <v>6283.549805</v>
      </c>
      <c r="E413" s="15">
        <v>6378.299805</v>
      </c>
      <c r="F413" s="15">
        <v>6328.686523</v>
      </c>
      <c r="G413" s="15">
        <v>145009.0</v>
      </c>
      <c r="H413" s="19">
        <f t="shared" si="1"/>
        <v>0.01216346579</v>
      </c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>
        <v>44949.0</v>
      </c>
      <c r="B414" s="15">
        <v>6412.0</v>
      </c>
      <c r="C414" s="15">
        <v>6688.0</v>
      </c>
      <c r="D414" s="15">
        <v>6365.0</v>
      </c>
      <c r="E414" s="15">
        <v>6655.450195</v>
      </c>
      <c r="F414" s="15">
        <v>6603.681152</v>
      </c>
      <c r="G414" s="15">
        <v>422749.0</v>
      </c>
      <c r="H414" s="19">
        <f t="shared" si="1"/>
        <v>0.04345207947</v>
      </c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8">
        <v>44950.0</v>
      </c>
      <c r="B415" s="15">
        <v>6744.0</v>
      </c>
      <c r="C415" s="15">
        <v>6819.950195</v>
      </c>
      <c r="D415" s="15">
        <v>6655.799805</v>
      </c>
      <c r="E415" s="15">
        <v>6698.850098</v>
      </c>
      <c r="F415" s="15">
        <v>6646.743164</v>
      </c>
      <c r="G415" s="15">
        <v>368883.0</v>
      </c>
      <c r="H415" s="19">
        <f t="shared" si="1"/>
        <v>0.006520956769</v>
      </c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>
        <v>44951.0</v>
      </c>
      <c r="B416" s="15">
        <v>6678.0</v>
      </c>
      <c r="C416" s="15">
        <v>6755.0</v>
      </c>
      <c r="D416" s="15">
        <v>6576.899902</v>
      </c>
      <c r="E416" s="15">
        <v>6597.200195</v>
      </c>
      <c r="F416" s="15">
        <v>6545.884277</v>
      </c>
      <c r="G416" s="15">
        <v>174700.0</v>
      </c>
      <c r="H416" s="19">
        <f t="shared" si="1"/>
        <v>-0.01517423162</v>
      </c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8">
        <v>44953.0</v>
      </c>
      <c r="B417" s="15">
        <v>6700.0</v>
      </c>
      <c r="C417" s="15">
        <v>6750.0</v>
      </c>
      <c r="D417" s="15">
        <v>6475.0</v>
      </c>
      <c r="E417" s="15">
        <v>6664.350098</v>
      </c>
      <c r="F417" s="15">
        <v>6612.511719</v>
      </c>
      <c r="G417" s="15">
        <v>305450.0</v>
      </c>
      <c r="H417" s="19">
        <f t="shared" si="1"/>
        <v>0.0101785456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>
        <v>44956.0</v>
      </c>
      <c r="B418" s="15">
        <v>6655.0</v>
      </c>
      <c r="C418" s="15">
        <v>6699.0</v>
      </c>
      <c r="D418" s="15">
        <v>6545.0</v>
      </c>
      <c r="E418" s="15">
        <v>6578.149902</v>
      </c>
      <c r="F418" s="15">
        <v>6526.981934</v>
      </c>
      <c r="G418" s="15">
        <v>147520.0</v>
      </c>
      <c r="H418" s="19">
        <f t="shared" si="1"/>
        <v>-0.01293452396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8">
        <v>44957.0</v>
      </c>
      <c r="B419" s="15">
        <v>6580.0</v>
      </c>
      <c r="C419" s="15">
        <v>6650.0</v>
      </c>
      <c r="D419" s="15">
        <v>6510.049805</v>
      </c>
      <c r="E419" s="15">
        <v>6632.700195</v>
      </c>
      <c r="F419" s="15">
        <v>6581.10791</v>
      </c>
      <c r="G419" s="15">
        <v>164980.0</v>
      </c>
      <c r="H419" s="19">
        <f t="shared" si="1"/>
        <v>0.008292649729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>
        <v>44958.0</v>
      </c>
      <c r="B420" s="15">
        <v>6666.0</v>
      </c>
      <c r="C420" s="15">
        <v>6745.950195</v>
      </c>
      <c r="D420" s="15">
        <v>6381.950195</v>
      </c>
      <c r="E420" s="15">
        <v>6597.149902</v>
      </c>
      <c r="F420" s="15">
        <v>6545.833984</v>
      </c>
      <c r="G420" s="15">
        <v>221307.0</v>
      </c>
      <c r="H420" s="19">
        <f t="shared" si="1"/>
        <v>-0.00535985224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8">
        <v>44959.0</v>
      </c>
      <c r="B421" s="15">
        <v>6619.850098</v>
      </c>
      <c r="C421" s="15">
        <v>6679.0</v>
      </c>
      <c r="D421" s="15">
        <v>6552.600098</v>
      </c>
      <c r="E421" s="15">
        <v>6588.25</v>
      </c>
      <c r="F421" s="15">
        <v>6537.003418</v>
      </c>
      <c r="G421" s="15">
        <v>154532.0</v>
      </c>
      <c r="H421" s="19">
        <f t="shared" si="1"/>
        <v>-0.001349052565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>
        <v>44960.0</v>
      </c>
      <c r="B422" s="15">
        <v>6621.200195</v>
      </c>
      <c r="C422" s="15">
        <v>6642.0</v>
      </c>
      <c r="D422" s="15">
        <v>6482.0</v>
      </c>
      <c r="E422" s="15">
        <v>6571.149902</v>
      </c>
      <c r="F422" s="15">
        <v>6520.036621</v>
      </c>
      <c r="G422" s="15">
        <v>121697.0</v>
      </c>
      <c r="H422" s="19">
        <f t="shared" si="1"/>
        <v>-0.002595544796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8">
        <v>44963.0</v>
      </c>
      <c r="B423" s="15">
        <v>6575.0</v>
      </c>
      <c r="C423" s="15">
        <v>6693.75</v>
      </c>
      <c r="D423" s="15">
        <v>6510.0</v>
      </c>
      <c r="E423" s="15">
        <v>6669.200195</v>
      </c>
      <c r="F423" s="15">
        <v>6617.324219</v>
      </c>
      <c r="G423" s="15">
        <v>140677.0</v>
      </c>
      <c r="H423" s="19">
        <f t="shared" si="1"/>
        <v>0.01492132952</v>
      </c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>
        <v>44964.0</v>
      </c>
      <c r="B424" s="15">
        <v>6700.0</v>
      </c>
      <c r="C424" s="15">
        <v>6733.200195</v>
      </c>
      <c r="D424" s="15">
        <v>6624.0</v>
      </c>
      <c r="E424" s="15">
        <v>6692.5</v>
      </c>
      <c r="F424" s="15">
        <v>6640.442383</v>
      </c>
      <c r="G424" s="15">
        <v>137821.0</v>
      </c>
      <c r="H424" s="19">
        <f t="shared" si="1"/>
        <v>0.003493643063</v>
      </c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8">
        <v>44965.0</v>
      </c>
      <c r="B425" s="15">
        <v>6726.0</v>
      </c>
      <c r="C425" s="15">
        <v>6824.899902</v>
      </c>
      <c r="D425" s="15">
        <v>6670.0</v>
      </c>
      <c r="E425" s="15">
        <v>6697.850098</v>
      </c>
      <c r="F425" s="15">
        <v>6645.750977</v>
      </c>
      <c r="G425" s="15">
        <v>154384.0</v>
      </c>
      <c r="H425" s="19">
        <f t="shared" si="1"/>
        <v>0.0007994169593</v>
      </c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>
        <v>44966.0</v>
      </c>
      <c r="B426" s="15">
        <v>6700.0</v>
      </c>
      <c r="C426" s="15">
        <v>6735.0</v>
      </c>
      <c r="D426" s="15">
        <v>6640.0</v>
      </c>
      <c r="E426" s="15">
        <v>6685.149902</v>
      </c>
      <c r="F426" s="15">
        <v>6633.149902</v>
      </c>
      <c r="G426" s="15">
        <v>77303.0</v>
      </c>
      <c r="H426" s="19">
        <f t="shared" si="1"/>
        <v>-0.001896160083</v>
      </c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8">
        <v>44967.0</v>
      </c>
      <c r="B427" s="15">
        <v>6710.0</v>
      </c>
      <c r="C427" s="15">
        <v>6735.0</v>
      </c>
      <c r="D427" s="15">
        <v>6667.549805</v>
      </c>
      <c r="E427" s="15">
        <v>6683.649902</v>
      </c>
      <c r="F427" s="15">
        <v>6631.661133</v>
      </c>
      <c r="G427" s="15">
        <v>76760.0</v>
      </c>
      <c r="H427" s="19">
        <f t="shared" si="1"/>
        <v>-0.0002243779155</v>
      </c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>
        <v>44970.0</v>
      </c>
      <c r="B428" s="15">
        <v>6685.0</v>
      </c>
      <c r="C428" s="15">
        <v>6700.0</v>
      </c>
      <c r="D428" s="15">
        <v>6550.0</v>
      </c>
      <c r="E428" s="15">
        <v>6571.950195</v>
      </c>
      <c r="F428" s="15">
        <v>6520.830566</v>
      </c>
      <c r="G428" s="15">
        <v>69536.0</v>
      </c>
      <c r="H428" s="19">
        <f t="shared" si="1"/>
        <v>-0.0167123815</v>
      </c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8">
        <v>44971.0</v>
      </c>
      <c r="B429" s="15">
        <v>6580.100098</v>
      </c>
      <c r="C429" s="15">
        <v>6625.0</v>
      </c>
      <c r="D429" s="15">
        <v>6562.200195</v>
      </c>
      <c r="E429" s="15">
        <v>6596.799805</v>
      </c>
      <c r="F429" s="15">
        <v>6545.486816</v>
      </c>
      <c r="G429" s="15">
        <v>65601.0</v>
      </c>
      <c r="H429" s="19">
        <f t="shared" si="1"/>
        <v>0.003781162252</v>
      </c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>
        <v>44972.0</v>
      </c>
      <c r="B430" s="15">
        <v>6610.0</v>
      </c>
      <c r="C430" s="15">
        <v>6660.049805</v>
      </c>
      <c r="D430" s="15">
        <v>6560.049805</v>
      </c>
      <c r="E430" s="15">
        <v>6649.950195</v>
      </c>
      <c r="F430" s="15">
        <v>6598.223633</v>
      </c>
      <c r="G430" s="15">
        <v>121266.0</v>
      </c>
      <c r="H430" s="19">
        <f t="shared" si="1"/>
        <v>0.008056996054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8">
        <v>44973.0</v>
      </c>
      <c r="B431" s="15">
        <v>6650.0</v>
      </c>
      <c r="C431" s="15">
        <v>6792.0</v>
      </c>
      <c r="D431" s="15">
        <v>6645.100098</v>
      </c>
      <c r="E431" s="15">
        <v>6688.75</v>
      </c>
      <c r="F431" s="15">
        <v>6636.72168</v>
      </c>
      <c r="G431" s="15">
        <v>129947.0</v>
      </c>
      <c r="H431" s="19">
        <f t="shared" si="1"/>
        <v>0.005834600841</v>
      </c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>
        <v>44974.0</v>
      </c>
      <c r="B432" s="15">
        <v>6670.0</v>
      </c>
      <c r="C432" s="15">
        <v>6749.0</v>
      </c>
      <c r="D432" s="15">
        <v>6625.0</v>
      </c>
      <c r="E432" s="15">
        <v>6662.899902</v>
      </c>
      <c r="F432" s="15">
        <v>6611.072754</v>
      </c>
      <c r="G432" s="15">
        <v>81448.0</v>
      </c>
      <c r="H432" s="19">
        <f t="shared" si="1"/>
        <v>-0.003864712839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8">
        <v>44977.0</v>
      </c>
      <c r="B433" s="15">
        <v>6666.049805</v>
      </c>
      <c r="C433" s="15">
        <v>6720.0</v>
      </c>
      <c r="D433" s="15">
        <v>6625.0</v>
      </c>
      <c r="E433" s="15">
        <v>6666.899902</v>
      </c>
      <c r="F433" s="15">
        <v>6615.041504</v>
      </c>
      <c r="G433" s="15">
        <v>68365.0</v>
      </c>
      <c r="H433" s="19">
        <f t="shared" si="1"/>
        <v>0.0006003392005</v>
      </c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>
        <v>44978.0</v>
      </c>
      <c r="B434" s="15">
        <v>6699.0</v>
      </c>
      <c r="C434" s="15">
        <v>6712.200195</v>
      </c>
      <c r="D434" s="15">
        <v>6645.25</v>
      </c>
      <c r="E434" s="15">
        <v>6661.75</v>
      </c>
      <c r="F434" s="15">
        <v>6609.931641</v>
      </c>
      <c r="G434" s="15">
        <v>56129.0</v>
      </c>
      <c r="H434" s="19">
        <f t="shared" si="1"/>
        <v>-0.0007724582753</v>
      </c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8">
        <v>44979.0</v>
      </c>
      <c r="B435" s="15">
        <v>6610.0</v>
      </c>
      <c r="C435" s="15">
        <v>6619.899902</v>
      </c>
      <c r="D435" s="15">
        <v>6500.0</v>
      </c>
      <c r="E435" s="15">
        <v>6517.950195</v>
      </c>
      <c r="F435" s="15">
        <v>6467.250488</v>
      </c>
      <c r="G435" s="15">
        <v>83155.0</v>
      </c>
      <c r="H435" s="19">
        <f t="shared" si="1"/>
        <v>-0.02158589034</v>
      </c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>
        <v>44980.0</v>
      </c>
      <c r="B436" s="15">
        <v>6510.0</v>
      </c>
      <c r="C436" s="15">
        <v>6524.899902</v>
      </c>
      <c r="D436" s="15">
        <v>6415.0</v>
      </c>
      <c r="E436" s="15">
        <v>6484.5</v>
      </c>
      <c r="F436" s="15">
        <v>6434.060547</v>
      </c>
      <c r="G436" s="15">
        <v>78315.0</v>
      </c>
      <c r="H436" s="19">
        <f t="shared" si="1"/>
        <v>-0.005132011445</v>
      </c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8">
        <v>44981.0</v>
      </c>
      <c r="B437" s="15">
        <v>6514.0</v>
      </c>
      <c r="C437" s="15">
        <v>6525.0</v>
      </c>
      <c r="D437" s="15">
        <v>6440.0</v>
      </c>
      <c r="E437" s="15">
        <v>6512.850098</v>
      </c>
      <c r="F437" s="15">
        <v>6462.189941</v>
      </c>
      <c r="G437" s="15">
        <v>63935.0</v>
      </c>
      <c r="H437" s="19">
        <f t="shared" si="1"/>
        <v>0.004371979027</v>
      </c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>
        <v>44984.0</v>
      </c>
      <c r="B438" s="15">
        <v>6500.0</v>
      </c>
      <c r="C438" s="15">
        <v>6509.899902</v>
      </c>
      <c r="D438" s="15">
        <v>6350.0</v>
      </c>
      <c r="E438" s="15">
        <v>6358.700195</v>
      </c>
      <c r="F438" s="15">
        <v>6309.239258</v>
      </c>
      <c r="G438" s="15">
        <v>76466.0</v>
      </c>
      <c r="H438" s="19">
        <f t="shared" si="1"/>
        <v>-0.02366857838</v>
      </c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8">
        <v>44985.0</v>
      </c>
      <c r="B439" s="15">
        <v>6380.0</v>
      </c>
      <c r="C439" s="15">
        <v>6390.0</v>
      </c>
      <c r="D439" s="15">
        <v>6089.0</v>
      </c>
      <c r="E439" s="15">
        <v>6129.25</v>
      </c>
      <c r="F439" s="15">
        <v>6081.57373</v>
      </c>
      <c r="G439" s="15">
        <v>203406.0</v>
      </c>
      <c r="H439" s="19">
        <f t="shared" si="1"/>
        <v>-0.03608444933</v>
      </c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>
        <v>44986.0</v>
      </c>
      <c r="B440" s="15">
        <v>6128.850098</v>
      </c>
      <c r="C440" s="15">
        <v>6243.950195</v>
      </c>
      <c r="D440" s="15">
        <v>6123.0</v>
      </c>
      <c r="E440" s="15">
        <v>6194.600098</v>
      </c>
      <c r="F440" s="15">
        <v>6146.415527</v>
      </c>
      <c r="G440" s="15">
        <v>97556.0</v>
      </c>
      <c r="H440" s="19">
        <f t="shared" si="1"/>
        <v>0.01066200563</v>
      </c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8">
        <v>44987.0</v>
      </c>
      <c r="B441" s="15">
        <v>6218.0</v>
      </c>
      <c r="C441" s="15">
        <v>6237.149902</v>
      </c>
      <c r="D441" s="15">
        <v>6131.299805</v>
      </c>
      <c r="E441" s="15">
        <v>6150.549805</v>
      </c>
      <c r="F441" s="15">
        <v>6102.708008</v>
      </c>
      <c r="G441" s="15">
        <v>101691.0</v>
      </c>
      <c r="H441" s="19">
        <f t="shared" si="1"/>
        <v>-0.007111079376</v>
      </c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>
        <v>44988.0</v>
      </c>
      <c r="B442" s="15">
        <v>6181.0</v>
      </c>
      <c r="C442" s="15">
        <v>6221.950195</v>
      </c>
      <c r="D442" s="15">
        <v>6150.0</v>
      </c>
      <c r="E442" s="15">
        <v>6176.450195</v>
      </c>
      <c r="F442" s="15">
        <v>6128.406738</v>
      </c>
      <c r="G442" s="15">
        <v>78784.0</v>
      </c>
      <c r="H442" s="19">
        <f t="shared" si="1"/>
        <v>0.004211069062</v>
      </c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8">
        <v>44991.0</v>
      </c>
      <c r="B443" s="15">
        <v>6239.850098</v>
      </c>
      <c r="C443" s="15">
        <v>6325.0</v>
      </c>
      <c r="D443" s="15">
        <v>6220.850098</v>
      </c>
      <c r="E443" s="15">
        <v>6237.649902</v>
      </c>
      <c r="F443" s="15">
        <v>6189.130371</v>
      </c>
      <c r="G443" s="15">
        <v>113971.0</v>
      </c>
      <c r="H443" s="19">
        <f t="shared" si="1"/>
        <v>0.009908556706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>
        <v>44993.0</v>
      </c>
      <c r="B444" s="15">
        <v>6200.0</v>
      </c>
      <c r="C444" s="15">
        <v>6357.799805</v>
      </c>
      <c r="D444" s="15">
        <v>6160.399902</v>
      </c>
      <c r="E444" s="15">
        <v>6340.200195</v>
      </c>
      <c r="F444" s="15">
        <v>6290.883301</v>
      </c>
      <c r="G444" s="15">
        <v>164335.0</v>
      </c>
      <c r="H444" s="19">
        <f t="shared" si="1"/>
        <v>0.01644053363</v>
      </c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8">
        <v>44994.0</v>
      </c>
      <c r="B445" s="15">
        <v>6370.0</v>
      </c>
      <c r="C445" s="15">
        <v>6379.950195</v>
      </c>
      <c r="D445" s="15">
        <v>6260.0</v>
      </c>
      <c r="E445" s="15">
        <v>6284.549805</v>
      </c>
      <c r="F445" s="15">
        <v>6235.665527</v>
      </c>
      <c r="G445" s="15">
        <v>91114.0</v>
      </c>
      <c r="H445" s="19">
        <f t="shared" si="1"/>
        <v>-0.008777386879</v>
      </c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>
        <v>44995.0</v>
      </c>
      <c r="B446" s="15">
        <v>6223.100098</v>
      </c>
      <c r="C446" s="15">
        <v>6320.0</v>
      </c>
      <c r="D446" s="15">
        <v>6181.0</v>
      </c>
      <c r="E446" s="15">
        <v>6249.299805</v>
      </c>
      <c r="F446" s="15">
        <v>6200.689941</v>
      </c>
      <c r="G446" s="15">
        <v>88898.0</v>
      </c>
      <c r="H446" s="19">
        <f t="shared" si="1"/>
        <v>-0.005608993658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8">
        <v>44998.0</v>
      </c>
      <c r="B447" s="15">
        <v>6249.299805</v>
      </c>
      <c r="C447" s="15">
        <v>6295.0</v>
      </c>
      <c r="D447" s="15">
        <v>6120.200195</v>
      </c>
      <c r="E447" s="15">
        <v>6130.950195</v>
      </c>
      <c r="F447" s="15">
        <v>6083.260742</v>
      </c>
      <c r="G447" s="15">
        <v>89686.0</v>
      </c>
      <c r="H447" s="19">
        <f t="shared" si="1"/>
        <v>-0.01893805925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>
        <v>44999.0</v>
      </c>
      <c r="B448" s="15">
        <v>6161.649902</v>
      </c>
      <c r="C448" s="15">
        <v>6189.899902</v>
      </c>
      <c r="D448" s="15">
        <v>5919.0</v>
      </c>
      <c r="E448" s="15">
        <v>6062.5</v>
      </c>
      <c r="F448" s="15">
        <v>6015.343262</v>
      </c>
      <c r="G448" s="15">
        <v>220025.0</v>
      </c>
      <c r="H448" s="19">
        <f t="shared" si="1"/>
        <v>-0.01116469598</v>
      </c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8">
        <v>45000.0</v>
      </c>
      <c r="B449" s="15">
        <v>6100.0</v>
      </c>
      <c r="C449" s="15">
        <v>6194.0</v>
      </c>
      <c r="D449" s="15">
        <v>6058.0</v>
      </c>
      <c r="E449" s="15">
        <v>6088.049805</v>
      </c>
      <c r="F449" s="15">
        <v>6040.694336</v>
      </c>
      <c r="G449" s="15">
        <v>107844.0</v>
      </c>
      <c r="H449" s="19">
        <f t="shared" si="1"/>
        <v>0.004214400825</v>
      </c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>
        <v>45001.0</v>
      </c>
      <c r="B450" s="15">
        <v>6088.0</v>
      </c>
      <c r="C450" s="15">
        <v>6139.899902</v>
      </c>
      <c r="D450" s="15">
        <v>6031.0</v>
      </c>
      <c r="E450" s="15">
        <v>6115.100098</v>
      </c>
      <c r="F450" s="15">
        <v>6067.53418</v>
      </c>
      <c r="G450" s="15">
        <v>101504.0</v>
      </c>
      <c r="H450" s="19">
        <f t="shared" si="1"/>
        <v>0.004443178664</v>
      </c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8">
        <v>45002.0</v>
      </c>
      <c r="B451" s="15">
        <v>6149.950195</v>
      </c>
      <c r="C451" s="15">
        <v>6198.399902</v>
      </c>
      <c r="D451" s="15">
        <v>6139.75</v>
      </c>
      <c r="E451" s="15">
        <v>6159.0</v>
      </c>
      <c r="F451" s="15">
        <v>6111.092285</v>
      </c>
      <c r="G451" s="15">
        <v>109736.0</v>
      </c>
      <c r="H451" s="19">
        <f t="shared" si="1"/>
        <v>0.007178934326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>
        <v>45005.0</v>
      </c>
      <c r="B452" s="15">
        <v>5971.0</v>
      </c>
      <c r="C452" s="15">
        <v>6199.0</v>
      </c>
      <c r="D452" s="15">
        <v>5971.0</v>
      </c>
      <c r="E452" s="15">
        <v>6037.950195</v>
      </c>
      <c r="F452" s="15">
        <v>5990.984375</v>
      </c>
      <c r="G452" s="15">
        <v>100299.0</v>
      </c>
      <c r="H452" s="19">
        <f t="shared" si="1"/>
        <v>-0.01965413298</v>
      </c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8">
        <v>45006.0</v>
      </c>
      <c r="B453" s="15">
        <v>6068.149902</v>
      </c>
      <c r="C453" s="15">
        <v>6170.0</v>
      </c>
      <c r="D453" s="15">
        <v>6049.0</v>
      </c>
      <c r="E453" s="15">
        <v>6089.700195</v>
      </c>
      <c r="F453" s="15">
        <v>6042.331543</v>
      </c>
      <c r="G453" s="15">
        <v>98216.0</v>
      </c>
      <c r="H453" s="19">
        <f t="shared" si="1"/>
        <v>0.008570789478</v>
      </c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>
        <v>45007.0</v>
      </c>
      <c r="B454" s="15">
        <v>6120.149902</v>
      </c>
      <c r="C454" s="15">
        <v>6149.850098</v>
      </c>
      <c r="D454" s="15">
        <v>6034.5</v>
      </c>
      <c r="E454" s="15">
        <v>6055.399902</v>
      </c>
      <c r="F454" s="15">
        <v>6008.29834</v>
      </c>
      <c r="G454" s="15">
        <v>63280.0</v>
      </c>
      <c r="H454" s="19">
        <f t="shared" si="1"/>
        <v>-0.005632509303</v>
      </c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8">
        <v>45008.0</v>
      </c>
      <c r="B455" s="15">
        <v>6050.0</v>
      </c>
      <c r="C455" s="15">
        <v>6073.299805</v>
      </c>
      <c r="D455" s="15">
        <v>6006.0</v>
      </c>
      <c r="E455" s="15">
        <v>6040.850098</v>
      </c>
      <c r="F455" s="15">
        <v>5993.861328</v>
      </c>
      <c r="G455" s="15">
        <v>73026.0</v>
      </c>
      <c r="H455" s="19">
        <f t="shared" si="1"/>
        <v>-0.002402781688</v>
      </c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8">
        <v>45009.0</v>
      </c>
      <c r="B456" s="15">
        <v>6051.149902</v>
      </c>
      <c r="C456" s="15">
        <v>6085.0</v>
      </c>
      <c r="D456" s="15">
        <v>5970.5</v>
      </c>
      <c r="E456" s="15">
        <v>6000.700195</v>
      </c>
      <c r="F456" s="15">
        <v>5954.023926</v>
      </c>
      <c r="G456" s="15">
        <v>104926.0</v>
      </c>
      <c r="H456" s="19">
        <f t="shared" si="1"/>
        <v>-0.006646399488</v>
      </c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8">
        <v>45012.0</v>
      </c>
      <c r="B457" s="15">
        <v>6005.0</v>
      </c>
      <c r="C457" s="15">
        <v>6029.799805</v>
      </c>
      <c r="D457" s="15">
        <v>5942.0</v>
      </c>
      <c r="E457" s="15">
        <v>5956.399902</v>
      </c>
      <c r="F457" s="15">
        <v>5910.068359</v>
      </c>
      <c r="G457" s="15">
        <v>91053.0</v>
      </c>
      <c r="H457" s="19">
        <f t="shared" si="1"/>
        <v>-0.007382520633</v>
      </c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8">
        <v>45013.0</v>
      </c>
      <c r="B458" s="15">
        <v>5986.200195</v>
      </c>
      <c r="C458" s="15">
        <v>5986.200195</v>
      </c>
      <c r="D458" s="15">
        <v>5882.549805</v>
      </c>
      <c r="E458" s="15">
        <v>5926.149902</v>
      </c>
      <c r="F458" s="15">
        <v>5880.053711</v>
      </c>
      <c r="G458" s="15">
        <v>120434.0</v>
      </c>
      <c r="H458" s="19">
        <f t="shared" si="1"/>
        <v>-0.005078571032</v>
      </c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8">
        <v>45014.0</v>
      </c>
      <c r="B459" s="15">
        <v>5929.0</v>
      </c>
      <c r="C459" s="15">
        <v>5976.0</v>
      </c>
      <c r="D459" s="15">
        <v>5900.049805</v>
      </c>
      <c r="E459" s="15">
        <v>5956.049805</v>
      </c>
      <c r="F459" s="15">
        <v>5909.720703</v>
      </c>
      <c r="G459" s="15">
        <v>98539.0</v>
      </c>
      <c r="H459" s="19">
        <f t="shared" si="1"/>
        <v>0.005045417935</v>
      </c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8">
        <v>45016.0</v>
      </c>
      <c r="B460" s="15">
        <v>5985.850098</v>
      </c>
      <c r="C460" s="15">
        <v>6039.950195</v>
      </c>
      <c r="D460" s="15">
        <v>5946.0</v>
      </c>
      <c r="E460" s="15">
        <v>5959.100098</v>
      </c>
      <c r="F460" s="15">
        <v>5912.747559</v>
      </c>
      <c r="G460" s="15">
        <v>134855.0</v>
      </c>
      <c r="H460" s="19">
        <f t="shared" si="1"/>
        <v>0.0005121335617</v>
      </c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8">
        <v>45019.0</v>
      </c>
      <c r="B461" s="15">
        <v>6070.0</v>
      </c>
      <c r="C461" s="15">
        <v>6097.0</v>
      </c>
      <c r="D461" s="15">
        <v>5975.25</v>
      </c>
      <c r="E461" s="15">
        <v>6011.299805</v>
      </c>
      <c r="F461" s="15">
        <v>5964.541016</v>
      </c>
      <c r="G461" s="15">
        <v>110447.0</v>
      </c>
      <c r="H461" s="19">
        <f t="shared" si="1"/>
        <v>0.008759662724</v>
      </c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8">
        <v>45021.0</v>
      </c>
      <c r="B462" s="15">
        <v>6027.0</v>
      </c>
      <c r="C462" s="15">
        <v>6162.0</v>
      </c>
      <c r="D462" s="15">
        <v>6020.0</v>
      </c>
      <c r="E462" s="15">
        <v>6099.200195</v>
      </c>
      <c r="F462" s="15">
        <v>6051.757813</v>
      </c>
      <c r="G462" s="15">
        <v>146548.0</v>
      </c>
      <c r="H462" s="19">
        <f t="shared" si="1"/>
        <v>0.01462252638</v>
      </c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8">
        <v>45022.0</v>
      </c>
      <c r="B463" s="15">
        <v>6096.0</v>
      </c>
      <c r="C463" s="15">
        <v>6114.899902</v>
      </c>
      <c r="D463" s="15">
        <v>6035.049805</v>
      </c>
      <c r="E463" s="15">
        <v>6068.149902</v>
      </c>
      <c r="F463" s="15">
        <v>6020.949219</v>
      </c>
      <c r="G463" s="15">
        <v>97084.0</v>
      </c>
      <c r="H463" s="19">
        <f t="shared" si="1"/>
        <v>-0.005090879461</v>
      </c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8">
        <v>45026.0</v>
      </c>
      <c r="B464" s="15">
        <v>6097.0</v>
      </c>
      <c r="C464" s="15">
        <v>6247.0</v>
      </c>
      <c r="D464" s="15">
        <v>6043.950195</v>
      </c>
      <c r="E464" s="15">
        <v>6201.100098</v>
      </c>
      <c r="F464" s="15">
        <v>6152.865234</v>
      </c>
      <c r="G464" s="15">
        <v>145279.0</v>
      </c>
      <c r="H464" s="19">
        <f t="shared" si="1"/>
        <v>0.02190951083</v>
      </c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8">
        <v>45027.0</v>
      </c>
      <c r="B465" s="15">
        <v>6205.5</v>
      </c>
      <c r="C465" s="15">
        <v>6415.0</v>
      </c>
      <c r="D465" s="15">
        <v>6205.5</v>
      </c>
      <c r="E465" s="15">
        <v>6381.299805</v>
      </c>
      <c r="F465" s="15">
        <v>6331.663086</v>
      </c>
      <c r="G465" s="15">
        <v>260064.0</v>
      </c>
      <c r="H465" s="19">
        <f t="shared" si="1"/>
        <v>0.02905931273</v>
      </c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8">
        <v>45028.0</v>
      </c>
      <c r="B466" s="15">
        <v>6404.0</v>
      </c>
      <c r="C466" s="15">
        <v>6448.0</v>
      </c>
      <c r="D466" s="15">
        <v>6350.0</v>
      </c>
      <c r="E466" s="15">
        <v>6376.950195</v>
      </c>
      <c r="F466" s="15">
        <v>6327.347168</v>
      </c>
      <c r="G466" s="15">
        <v>134439.0</v>
      </c>
      <c r="H466" s="19">
        <f t="shared" si="1"/>
        <v>-0.0006816181864</v>
      </c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8">
        <v>45029.0</v>
      </c>
      <c r="B467" s="15">
        <v>6374.0</v>
      </c>
      <c r="C467" s="15">
        <v>6374.899902</v>
      </c>
      <c r="D467" s="15">
        <v>6260.5</v>
      </c>
      <c r="E467" s="15">
        <v>6283.5</v>
      </c>
      <c r="F467" s="15">
        <v>6234.624023</v>
      </c>
      <c r="G467" s="15">
        <v>86143.0</v>
      </c>
      <c r="H467" s="19">
        <f t="shared" si="1"/>
        <v>-0.01465437116</v>
      </c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8">
        <v>45033.0</v>
      </c>
      <c r="B468" s="15">
        <v>6237.950195</v>
      </c>
      <c r="C468" s="15">
        <v>6300.0</v>
      </c>
      <c r="D468" s="15">
        <v>6180.0</v>
      </c>
      <c r="E468" s="15">
        <v>6289.75</v>
      </c>
      <c r="F468" s="15">
        <v>6240.825195</v>
      </c>
      <c r="G468" s="15">
        <v>108512.0</v>
      </c>
      <c r="H468" s="19">
        <f t="shared" si="1"/>
        <v>0.0009946685764</v>
      </c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8">
        <v>45034.0</v>
      </c>
      <c r="B469" s="15">
        <v>6298.75</v>
      </c>
      <c r="C469" s="15">
        <v>6396.0</v>
      </c>
      <c r="D469" s="15">
        <v>6295.0</v>
      </c>
      <c r="E469" s="15">
        <v>6367.299805</v>
      </c>
      <c r="F469" s="15">
        <v>6317.771973</v>
      </c>
      <c r="G469" s="15">
        <v>100611.0</v>
      </c>
      <c r="H469" s="19">
        <f t="shared" si="1"/>
        <v>0.01232955284</v>
      </c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8">
        <v>45035.0</v>
      </c>
      <c r="B470" s="15">
        <v>6368.0</v>
      </c>
      <c r="C470" s="15">
        <v>6375.0</v>
      </c>
      <c r="D470" s="15">
        <v>6290.049805</v>
      </c>
      <c r="E470" s="15">
        <v>6307.200195</v>
      </c>
      <c r="F470" s="15">
        <v>6258.139648</v>
      </c>
      <c r="G470" s="15">
        <v>69527.0</v>
      </c>
      <c r="H470" s="19">
        <f t="shared" si="1"/>
        <v>-0.009438790671</v>
      </c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8">
        <v>45036.0</v>
      </c>
      <c r="B471" s="15">
        <v>6316.0</v>
      </c>
      <c r="C471" s="15">
        <v>6364.5</v>
      </c>
      <c r="D471" s="15">
        <v>6235.350098</v>
      </c>
      <c r="E471" s="15">
        <v>6251.649902</v>
      </c>
      <c r="F471" s="15">
        <v>6203.021484</v>
      </c>
      <c r="G471" s="15">
        <v>90809.0</v>
      </c>
      <c r="H471" s="19">
        <f t="shared" si="1"/>
        <v>-0.008807440906</v>
      </c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8">
        <v>45037.0</v>
      </c>
      <c r="B472" s="15">
        <v>6269.0</v>
      </c>
      <c r="C472" s="15">
        <v>6300.0</v>
      </c>
      <c r="D472" s="15">
        <v>6205.549805</v>
      </c>
      <c r="E472" s="15">
        <v>6281.0</v>
      </c>
      <c r="F472" s="15">
        <v>6232.143555</v>
      </c>
      <c r="G472" s="15">
        <v>66308.0</v>
      </c>
      <c r="H472" s="19">
        <f t="shared" si="1"/>
        <v>0.004694776333</v>
      </c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8">
        <v>45040.0</v>
      </c>
      <c r="B473" s="15">
        <v>6280.850098</v>
      </c>
      <c r="C473" s="15">
        <v>6330.0</v>
      </c>
      <c r="D473" s="15">
        <v>6220.049805</v>
      </c>
      <c r="E473" s="15">
        <v>6252.950195</v>
      </c>
      <c r="F473" s="15">
        <v>6204.312012</v>
      </c>
      <c r="G473" s="15">
        <v>61632.0</v>
      </c>
      <c r="H473" s="19">
        <f t="shared" si="1"/>
        <v>-0.004465818341</v>
      </c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8">
        <v>45041.0</v>
      </c>
      <c r="B474" s="15">
        <v>6253.0</v>
      </c>
      <c r="C474" s="15">
        <v>6307.0</v>
      </c>
      <c r="D474" s="15">
        <v>6235.299805</v>
      </c>
      <c r="E474" s="15">
        <v>6271.200195</v>
      </c>
      <c r="F474" s="15">
        <v>6222.419922</v>
      </c>
      <c r="G474" s="15">
        <v>47904.0</v>
      </c>
      <c r="H474" s="19">
        <f t="shared" si="1"/>
        <v>0.002918622319</v>
      </c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8">
        <v>45042.0</v>
      </c>
      <c r="B475" s="15">
        <v>6269.0</v>
      </c>
      <c r="C475" s="15">
        <v>6300.0</v>
      </c>
      <c r="D475" s="15">
        <v>6240.0</v>
      </c>
      <c r="E475" s="15">
        <v>6290.850098</v>
      </c>
      <c r="F475" s="15">
        <v>6241.916992</v>
      </c>
      <c r="G475" s="15">
        <v>56123.0</v>
      </c>
      <c r="H475" s="19">
        <f t="shared" si="1"/>
        <v>0.003133356039</v>
      </c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8">
        <v>45043.0</v>
      </c>
      <c r="B476" s="15">
        <v>6284.0</v>
      </c>
      <c r="C476" s="15">
        <v>6635.0</v>
      </c>
      <c r="D476" s="15">
        <v>6265.149902</v>
      </c>
      <c r="E476" s="15">
        <v>6578.200195</v>
      </c>
      <c r="F476" s="15">
        <v>6527.031738</v>
      </c>
      <c r="G476" s="15">
        <v>493002.0</v>
      </c>
      <c r="H476" s="19">
        <f t="shared" si="1"/>
        <v>0.04567746688</v>
      </c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8">
        <v>45044.0</v>
      </c>
      <c r="B477" s="15">
        <v>6629.0</v>
      </c>
      <c r="C477" s="15">
        <v>6687.0</v>
      </c>
      <c r="D477" s="15">
        <v>6565.649902</v>
      </c>
      <c r="E477" s="15">
        <v>6643.600098</v>
      </c>
      <c r="F477" s="15">
        <v>6591.922852</v>
      </c>
      <c r="G477" s="15">
        <v>191519.0</v>
      </c>
      <c r="H477" s="19">
        <f t="shared" si="1"/>
        <v>0.009941914363</v>
      </c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8">
        <v>45048.0</v>
      </c>
      <c r="B478" s="15">
        <v>6650.0</v>
      </c>
      <c r="C478" s="15">
        <v>6719.950195</v>
      </c>
      <c r="D478" s="15">
        <v>6600.0</v>
      </c>
      <c r="E478" s="15">
        <v>6643.25</v>
      </c>
      <c r="F478" s="15">
        <v>6591.575684</v>
      </c>
      <c r="G478" s="15">
        <v>125521.0</v>
      </c>
      <c r="H478" s="19">
        <f t="shared" si="1"/>
        <v>-0.00005269703095</v>
      </c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8">
        <v>45049.0</v>
      </c>
      <c r="B479" s="15">
        <v>6639.0</v>
      </c>
      <c r="C479" s="15">
        <v>6719.899902</v>
      </c>
      <c r="D479" s="15">
        <v>6555.700195</v>
      </c>
      <c r="E479" s="15">
        <v>6678.450195</v>
      </c>
      <c r="F479" s="15">
        <v>6626.501953</v>
      </c>
      <c r="G479" s="15">
        <v>95506.0</v>
      </c>
      <c r="H479" s="19">
        <f t="shared" si="1"/>
        <v>0.005298640726</v>
      </c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8">
        <v>45050.0</v>
      </c>
      <c r="B480" s="15">
        <v>6688.0</v>
      </c>
      <c r="C480" s="15">
        <v>6758.899902</v>
      </c>
      <c r="D480" s="15">
        <v>6610.0</v>
      </c>
      <c r="E480" s="15">
        <v>6721.299805</v>
      </c>
      <c r="F480" s="15">
        <v>6669.018555</v>
      </c>
      <c r="G480" s="15">
        <v>219751.0</v>
      </c>
      <c r="H480" s="19">
        <f t="shared" si="1"/>
        <v>0.006416100854</v>
      </c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8">
        <v>45051.0</v>
      </c>
      <c r="B481" s="15">
        <v>6715.0</v>
      </c>
      <c r="C481" s="15">
        <v>6720.0</v>
      </c>
      <c r="D481" s="15">
        <v>6645.0</v>
      </c>
      <c r="E481" s="15">
        <v>6660.25</v>
      </c>
      <c r="F481" s="15">
        <v>6608.443359</v>
      </c>
      <c r="G481" s="15">
        <v>77948.0</v>
      </c>
      <c r="H481" s="19">
        <f t="shared" si="1"/>
        <v>-0.009083035539</v>
      </c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8">
        <v>45054.0</v>
      </c>
      <c r="B482" s="15">
        <v>6714.0</v>
      </c>
      <c r="C482" s="15">
        <v>6798.450195</v>
      </c>
      <c r="D482" s="15">
        <v>6671.75</v>
      </c>
      <c r="E482" s="15">
        <v>6779.299805</v>
      </c>
      <c r="F482" s="15">
        <v>6726.567383</v>
      </c>
      <c r="G482" s="15">
        <v>132023.0</v>
      </c>
      <c r="H482" s="19">
        <f t="shared" si="1"/>
        <v>0.01787467512</v>
      </c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8">
        <v>45055.0</v>
      </c>
      <c r="B483" s="15">
        <v>6779.350098</v>
      </c>
      <c r="C483" s="15">
        <v>7080.0</v>
      </c>
      <c r="D483" s="15">
        <v>6779.350098</v>
      </c>
      <c r="E483" s="15">
        <v>6991.950195</v>
      </c>
      <c r="F483" s="15">
        <v>6937.563477</v>
      </c>
      <c r="G483" s="15">
        <v>512348.0</v>
      </c>
      <c r="H483" s="19">
        <f t="shared" si="1"/>
        <v>0.03136760375</v>
      </c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8">
        <v>45056.0</v>
      </c>
      <c r="B484" s="15">
        <v>7022.0</v>
      </c>
      <c r="C484" s="15">
        <v>7165.0</v>
      </c>
      <c r="D484" s="15">
        <v>6996.600098</v>
      </c>
      <c r="E484" s="15">
        <v>7121.850098</v>
      </c>
      <c r="F484" s="15">
        <v>7066.453125</v>
      </c>
      <c r="G484" s="15">
        <v>347603.0</v>
      </c>
      <c r="H484" s="19">
        <f t="shared" si="1"/>
        <v>0.01857849375</v>
      </c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8">
        <v>45057.0</v>
      </c>
      <c r="B485" s="15">
        <v>7140.0</v>
      </c>
      <c r="C485" s="15">
        <v>7225.0</v>
      </c>
      <c r="D485" s="15">
        <v>7130.049805</v>
      </c>
      <c r="E485" s="15">
        <v>7198.350098</v>
      </c>
      <c r="F485" s="15">
        <v>7142.35791</v>
      </c>
      <c r="G485" s="15">
        <v>235153.0</v>
      </c>
      <c r="H485" s="19">
        <f t="shared" si="1"/>
        <v>0.01074159087</v>
      </c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8">
        <v>45058.0</v>
      </c>
      <c r="B486" s="15">
        <v>7198.350098</v>
      </c>
      <c r="C486" s="15">
        <v>7200.0</v>
      </c>
      <c r="D486" s="15">
        <v>7057.0</v>
      </c>
      <c r="E486" s="15">
        <v>7078.600098</v>
      </c>
      <c r="F486" s="15">
        <v>7023.539551</v>
      </c>
      <c r="G486" s="15">
        <v>142267.0</v>
      </c>
      <c r="H486" s="19">
        <f t="shared" si="1"/>
        <v>-0.01663575658</v>
      </c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8">
        <v>45061.0</v>
      </c>
      <c r="B487" s="15">
        <v>7102.0</v>
      </c>
      <c r="C487" s="15">
        <v>7209.0</v>
      </c>
      <c r="D487" s="15">
        <v>6974.0</v>
      </c>
      <c r="E487" s="15">
        <v>7031.600098</v>
      </c>
      <c r="F487" s="15">
        <v>6976.905273</v>
      </c>
      <c r="G487" s="15">
        <v>177522.0</v>
      </c>
      <c r="H487" s="19">
        <f t="shared" si="1"/>
        <v>-0.006639730928</v>
      </c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8">
        <v>45062.0</v>
      </c>
      <c r="B488" s="15">
        <v>7068.0</v>
      </c>
      <c r="C488" s="15">
        <v>7175.0</v>
      </c>
      <c r="D488" s="15">
        <v>7050.0</v>
      </c>
      <c r="E488" s="15">
        <v>7115.700195</v>
      </c>
      <c r="F488" s="15">
        <v>7060.351074</v>
      </c>
      <c r="G488" s="15">
        <v>154662.0</v>
      </c>
      <c r="H488" s="19">
        <f t="shared" si="1"/>
        <v>0.01196030716</v>
      </c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8">
        <v>45063.0</v>
      </c>
      <c r="B489" s="15">
        <v>7135.0</v>
      </c>
      <c r="C489" s="15">
        <v>7153.200195</v>
      </c>
      <c r="D489" s="15">
        <v>7060.049805</v>
      </c>
      <c r="E489" s="15">
        <v>7099.149902</v>
      </c>
      <c r="F489" s="15">
        <v>7043.929199</v>
      </c>
      <c r="G489" s="15">
        <v>115618.0</v>
      </c>
      <c r="H489" s="19">
        <f t="shared" si="1"/>
        <v>-0.002325883967</v>
      </c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8">
        <v>45064.0</v>
      </c>
      <c r="B490" s="15">
        <v>7156.950195</v>
      </c>
      <c r="C490" s="15">
        <v>7175.0</v>
      </c>
      <c r="D490" s="15">
        <v>6941.0</v>
      </c>
      <c r="E490" s="15">
        <v>6995.600098</v>
      </c>
      <c r="F490" s="15">
        <v>6941.185059</v>
      </c>
      <c r="G490" s="15">
        <v>115117.0</v>
      </c>
      <c r="H490" s="19">
        <f t="shared" si="1"/>
        <v>-0.01458622588</v>
      </c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8">
        <v>45065.0</v>
      </c>
      <c r="B491" s="15">
        <v>6870.0</v>
      </c>
      <c r="C491" s="15">
        <v>7075.0</v>
      </c>
      <c r="D491" s="15">
        <v>6715.0</v>
      </c>
      <c r="E491" s="15">
        <v>7027.350098</v>
      </c>
      <c r="F491" s="15">
        <v>6972.687988</v>
      </c>
      <c r="G491" s="15">
        <v>588194.0</v>
      </c>
      <c r="H491" s="19">
        <f t="shared" si="1"/>
        <v>0.004538567036</v>
      </c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8">
        <v>45068.0</v>
      </c>
      <c r="B492" s="15">
        <v>7030.0</v>
      </c>
      <c r="C492" s="15">
        <v>7032.700195</v>
      </c>
      <c r="D492" s="15">
        <v>6910.0</v>
      </c>
      <c r="E492" s="15">
        <v>6931.0</v>
      </c>
      <c r="F492" s="15">
        <v>6877.087402</v>
      </c>
      <c r="G492" s="15">
        <v>137531.0</v>
      </c>
      <c r="H492" s="19">
        <f t="shared" si="1"/>
        <v>-0.01371072974</v>
      </c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8">
        <v>45069.0</v>
      </c>
      <c r="B493" s="15">
        <v>6955.350098</v>
      </c>
      <c r="C493" s="15">
        <v>7040.0</v>
      </c>
      <c r="D493" s="15">
        <v>6902.200195</v>
      </c>
      <c r="E493" s="15">
        <v>7023.049805</v>
      </c>
      <c r="F493" s="15">
        <v>6968.421387</v>
      </c>
      <c r="G493" s="15">
        <v>140520.0</v>
      </c>
      <c r="H493" s="19">
        <f t="shared" si="1"/>
        <v>0.01328088371</v>
      </c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8">
        <v>45070.0</v>
      </c>
      <c r="B494" s="15">
        <v>7000.0</v>
      </c>
      <c r="C494" s="15">
        <v>7053.0</v>
      </c>
      <c r="D494" s="15">
        <v>6944.0</v>
      </c>
      <c r="E494" s="15">
        <v>7032.450195</v>
      </c>
      <c r="F494" s="15">
        <v>6977.748535</v>
      </c>
      <c r="G494" s="15">
        <v>150701.0</v>
      </c>
      <c r="H494" s="19">
        <f t="shared" si="1"/>
        <v>0.001338505387</v>
      </c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8">
        <v>45071.0</v>
      </c>
      <c r="B495" s="15">
        <v>7032.450195</v>
      </c>
      <c r="C495" s="15">
        <v>7289.600098</v>
      </c>
      <c r="D495" s="15">
        <v>7000.049805</v>
      </c>
      <c r="E495" s="15">
        <v>7261.0</v>
      </c>
      <c r="F495" s="15">
        <v>7204.520508</v>
      </c>
      <c r="G495" s="15">
        <v>533209.0</v>
      </c>
      <c r="H495" s="19">
        <f t="shared" si="1"/>
        <v>0.0324993137</v>
      </c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8">
        <v>45072.0</v>
      </c>
      <c r="B496" s="15">
        <v>7300.0</v>
      </c>
      <c r="C496" s="15">
        <v>7549.0</v>
      </c>
      <c r="D496" s="15">
        <v>7288.049805</v>
      </c>
      <c r="E496" s="15">
        <v>7467.100098</v>
      </c>
      <c r="F496" s="15">
        <v>7409.017578</v>
      </c>
      <c r="G496" s="15">
        <v>714927.0</v>
      </c>
      <c r="H496" s="19">
        <f t="shared" si="1"/>
        <v>0.02838453354</v>
      </c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8">
        <v>45075.0</v>
      </c>
      <c r="B497" s="15">
        <v>7560.0</v>
      </c>
      <c r="C497" s="15">
        <v>7619.950195</v>
      </c>
      <c r="D497" s="15">
        <v>7451.0</v>
      </c>
      <c r="E497" s="15">
        <v>7494.950195</v>
      </c>
      <c r="F497" s="15">
        <v>7436.650879</v>
      </c>
      <c r="G497" s="15">
        <v>200412.0</v>
      </c>
      <c r="H497" s="19">
        <f t="shared" si="1"/>
        <v>0.0037297072</v>
      </c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8">
        <v>45076.0</v>
      </c>
      <c r="B498" s="15">
        <v>7485.0</v>
      </c>
      <c r="C498" s="15">
        <v>7498.0</v>
      </c>
      <c r="D498" s="15">
        <v>7400.0</v>
      </c>
      <c r="E498" s="15">
        <v>7422.0</v>
      </c>
      <c r="F498" s="15">
        <v>7364.268066</v>
      </c>
      <c r="G498" s="15">
        <v>116607.0</v>
      </c>
      <c r="H498" s="19">
        <f t="shared" si="1"/>
        <v>-0.009733246133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8">
        <v>45077.0</v>
      </c>
      <c r="B499" s="15">
        <v>7414.0</v>
      </c>
      <c r="C499" s="15">
        <v>7590.0</v>
      </c>
      <c r="D499" s="15">
        <v>7360.649902</v>
      </c>
      <c r="E499" s="15">
        <v>7421.549805</v>
      </c>
      <c r="F499" s="15">
        <v>7363.821777</v>
      </c>
      <c r="G499" s="15">
        <v>440466.0</v>
      </c>
      <c r="H499" s="19">
        <f t="shared" si="1"/>
        <v>-0.00006065683104</v>
      </c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8">
        <v>45078.0</v>
      </c>
      <c r="B500" s="15">
        <v>7478.799805</v>
      </c>
      <c r="C500" s="15">
        <v>7650.0</v>
      </c>
      <c r="D500" s="15">
        <v>7456.200195</v>
      </c>
      <c r="E500" s="15">
        <v>7634.5</v>
      </c>
      <c r="F500" s="15">
        <v>7575.115234</v>
      </c>
      <c r="G500" s="15">
        <v>382173.0</v>
      </c>
      <c r="H500" s="19">
        <f t="shared" si="1"/>
        <v>0.02869349403</v>
      </c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8">
        <v>45079.0</v>
      </c>
      <c r="B501" s="15">
        <v>7675.0</v>
      </c>
      <c r="C501" s="15">
        <v>7748.799805</v>
      </c>
      <c r="D501" s="15">
        <v>7660.0</v>
      </c>
      <c r="E501" s="15">
        <v>7695.950195</v>
      </c>
      <c r="F501" s="15">
        <v>7636.087402</v>
      </c>
      <c r="G501" s="15">
        <v>228387.0</v>
      </c>
      <c r="H501" s="19">
        <f t="shared" si="1"/>
        <v>0.008049013688</v>
      </c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8">
        <v>45082.0</v>
      </c>
      <c r="B502" s="15">
        <v>7725.0</v>
      </c>
      <c r="C502" s="15">
        <v>7777.0</v>
      </c>
      <c r="D502" s="15">
        <v>7680.0</v>
      </c>
      <c r="E502" s="15">
        <v>7698.149902</v>
      </c>
      <c r="F502" s="15">
        <v>7638.27002</v>
      </c>
      <c r="G502" s="15">
        <v>131164.0</v>
      </c>
      <c r="H502" s="19">
        <f t="shared" si="1"/>
        <v>0.0002858265639</v>
      </c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8">
        <v>45083.0</v>
      </c>
      <c r="B503" s="15">
        <v>7718.950195</v>
      </c>
      <c r="C503" s="15">
        <v>7731.0</v>
      </c>
      <c r="D503" s="15">
        <v>7551.0</v>
      </c>
      <c r="E503" s="15">
        <v>7604.5</v>
      </c>
      <c r="F503" s="15">
        <v>7545.348633</v>
      </c>
      <c r="G503" s="15">
        <v>155852.0</v>
      </c>
      <c r="H503" s="19">
        <f t="shared" si="1"/>
        <v>-0.01216524791</v>
      </c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8">
        <v>45084.0</v>
      </c>
      <c r="B504" s="15">
        <v>7650.200195</v>
      </c>
      <c r="C504" s="15">
        <v>7715.0</v>
      </c>
      <c r="D504" s="15">
        <v>7610.0</v>
      </c>
      <c r="E504" s="15">
        <v>7693.049805</v>
      </c>
      <c r="F504" s="15">
        <v>7633.209473</v>
      </c>
      <c r="G504" s="15">
        <v>129652.0</v>
      </c>
      <c r="H504" s="19">
        <f t="shared" si="1"/>
        <v>0.01164439542</v>
      </c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8">
        <v>45085.0</v>
      </c>
      <c r="B505" s="15">
        <v>7920.0</v>
      </c>
      <c r="C505" s="15">
        <v>7947.0</v>
      </c>
      <c r="D505" s="15">
        <v>7766.649902</v>
      </c>
      <c r="E505" s="15">
        <v>7844.649902</v>
      </c>
      <c r="F505" s="15">
        <v>7783.630371</v>
      </c>
      <c r="G505" s="15">
        <v>410366.0</v>
      </c>
      <c r="H505" s="19">
        <f t="shared" si="1"/>
        <v>0.01970611147</v>
      </c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8">
        <v>45086.0</v>
      </c>
      <c r="B506" s="15">
        <v>7881.450195</v>
      </c>
      <c r="C506" s="15">
        <v>7921.450195</v>
      </c>
      <c r="D506" s="15">
        <v>7791.100098</v>
      </c>
      <c r="E506" s="15">
        <v>7817.600098</v>
      </c>
      <c r="F506" s="15">
        <v>7756.791016</v>
      </c>
      <c r="G506" s="15">
        <v>142993.0</v>
      </c>
      <c r="H506" s="19">
        <f t="shared" si="1"/>
        <v>-0.003448184984</v>
      </c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8">
        <v>45089.0</v>
      </c>
      <c r="B507" s="15">
        <v>7855.0</v>
      </c>
      <c r="C507" s="15">
        <v>7909.0</v>
      </c>
      <c r="D507" s="15">
        <v>7781.0</v>
      </c>
      <c r="E507" s="15">
        <v>7858.5</v>
      </c>
      <c r="F507" s="15">
        <v>7797.373047</v>
      </c>
      <c r="G507" s="15">
        <v>124640.0</v>
      </c>
      <c r="H507" s="19">
        <f t="shared" si="1"/>
        <v>0.00523177209</v>
      </c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8">
        <v>45090.0</v>
      </c>
      <c r="B508" s="15">
        <v>7888.0</v>
      </c>
      <c r="C508" s="15">
        <v>7939.950195</v>
      </c>
      <c r="D508" s="15">
        <v>7825.5</v>
      </c>
      <c r="E508" s="15">
        <v>7852.0</v>
      </c>
      <c r="F508" s="15">
        <v>7790.92334</v>
      </c>
      <c r="G508" s="15">
        <v>150301.0</v>
      </c>
      <c r="H508" s="19">
        <f t="shared" si="1"/>
        <v>-0.0008271298594</v>
      </c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8">
        <v>45091.0</v>
      </c>
      <c r="B509" s="15">
        <v>7869.950195</v>
      </c>
      <c r="C509" s="15">
        <v>7869.950195</v>
      </c>
      <c r="D509" s="15">
        <v>7730.0</v>
      </c>
      <c r="E509" s="15">
        <v>7749.899902</v>
      </c>
      <c r="F509" s="15">
        <v>7689.617676</v>
      </c>
      <c r="G509" s="15">
        <v>151994.0</v>
      </c>
      <c r="H509" s="19">
        <f t="shared" si="1"/>
        <v>-0.01300306903</v>
      </c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8">
        <v>45092.0</v>
      </c>
      <c r="B510" s="15">
        <v>7770.0</v>
      </c>
      <c r="C510" s="15">
        <v>7810.0</v>
      </c>
      <c r="D510" s="15">
        <v>7706.0</v>
      </c>
      <c r="E510" s="15">
        <v>7786.549805</v>
      </c>
      <c r="F510" s="15">
        <v>7725.982422</v>
      </c>
      <c r="G510" s="15">
        <v>136247.0</v>
      </c>
      <c r="H510" s="19">
        <f t="shared" si="1"/>
        <v>0.004729080822</v>
      </c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8">
        <v>45093.0</v>
      </c>
      <c r="B511" s="15">
        <v>7786.549805</v>
      </c>
      <c r="C511" s="15">
        <v>7870.0</v>
      </c>
      <c r="D511" s="15">
        <v>7600.0</v>
      </c>
      <c r="E511" s="15">
        <v>7640.200195</v>
      </c>
      <c r="F511" s="15">
        <v>7580.770996</v>
      </c>
      <c r="G511" s="15">
        <v>200139.0</v>
      </c>
      <c r="H511" s="19">
        <f t="shared" si="1"/>
        <v>-0.01879518062</v>
      </c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8">
        <v>45096.0</v>
      </c>
      <c r="B512" s="15">
        <v>7662.700195</v>
      </c>
      <c r="C512" s="15">
        <v>7769.950195</v>
      </c>
      <c r="D512" s="15">
        <v>7656.049805</v>
      </c>
      <c r="E512" s="15">
        <v>7683.25</v>
      </c>
      <c r="F512" s="15">
        <v>7623.486328</v>
      </c>
      <c r="G512" s="15">
        <v>146303.0</v>
      </c>
      <c r="H512" s="19">
        <f t="shared" si="1"/>
        <v>0.005634643583</v>
      </c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8">
        <v>45097.0</v>
      </c>
      <c r="B513" s="15">
        <v>7707.299805</v>
      </c>
      <c r="C513" s="15">
        <v>7816.950195</v>
      </c>
      <c r="D513" s="15">
        <v>7703.0</v>
      </c>
      <c r="E513" s="15">
        <v>7770.450195</v>
      </c>
      <c r="F513" s="15">
        <v>7710.007813</v>
      </c>
      <c r="G513" s="15">
        <v>173677.0</v>
      </c>
      <c r="H513" s="19">
        <f t="shared" si="1"/>
        <v>0.01134938926</v>
      </c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8">
        <v>45098.0</v>
      </c>
      <c r="B514" s="15">
        <v>7786.0</v>
      </c>
      <c r="C514" s="15">
        <v>7885.0</v>
      </c>
      <c r="D514" s="15">
        <v>7724.299805</v>
      </c>
      <c r="E514" s="15">
        <v>7790.75</v>
      </c>
      <c r="F514" s="15">
        <v>7730.149902</v>
      </c>
      <c r="G514" s="15">
        <v>180193.0</v>
      </c>
      <c r="H514" s="19">
        <f t="shared" si="1"/>
        <v>0.002612436151</v>
      </c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8">
        <v>45099.0</v>
      </c>
      <c r="B515" s="15">
        <v>7770.0</v>
      </c>
      <c r="C515" s="15">
        <v>7770.0</v>
      </c>
      <c r="D515" s="15">
        <v>7640.0</v>
      </c>
      <c r="E515" s="15">
        <v>7667.25</v>
      </c>
      <c r="F515" s="15">
        <v>7667.25</v>
      </c>
      <c r="G515" s="15">
        <v>102273.0</v>
      </c>
      <c r="H515" s="19">
        <f t="shared" si="1"/>
        <v>-0.01585213234</v>
      </c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8">
        <v>45100.0</v>
      </c>
      <c r="B516" s="15">
        <v>7674.0</v>
      </c>
      <c r="C516" s="15">
        <v>7674.0</v>
      </c>
      <c r="D516" s="15">
        <v>7450.100098</v>
      </c>
      <c r="E516" s="15">
        <v>7481.950195</v>
      </c>
      <c r="F516" s="15">
        <v>7481.950195</v>
      </c>
      <c r="G516" s="15">
        <v>135452.0</v>
      </c>
      <c r="H516" s="19">
        <f t="shared" si="1"/>
        <v>-0.02416770094</v>
      </c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8">
        <v>45103.0</v>
      </c>
      <c r="B517" s="15">
        <v>7490.0</v>
      </c>
      <c r="C517" s="15">
        <v>7595.0</v>
      </c>
      <c r="D517" s="15">
        <v>7490.0</v>
      </c>
      <c r="E517" s="15">
        <v>7507.75</v>
      </c>
      <c r="F517" s="15">
        <v>7507.75</v>
      </c>
      <c r="G517" s="15">
        <v>108405.0</v>
      </c>
      <c r="H517" s="19">
        <f t="shared" si="1"/>
        <v>0.003448272753</v>
      </c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8">
        <v>45104.0</v>
      </c>
      <c r="B518" s="15">
        <v>7578.799805</v>
      </c>
      <c r="C518" s="15">
        <v>7666.0</v>
      </c>
      <c r="D518" s="15">
        <v>7530.350098</v>
      </c>
      <c r="E518" s="15">
        <v>7546.200195</v>
      </c>
      <c r="F518" s="15">
        <v>7546.200195</v>
      </c>
      <c r="G518" s="15">
        <v>143885.0</v>
      </c>
      <c r="H518" s="19">
        <f t="shared" si="1"/>
        <v>0.005121400553</v>
      </c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8">
        <v>45105.0</v>
      </c>
      <c r="B519" s="15">
        <v>7609.0</v>
      </c>
      <c r="C519" s="15">
        <v>7678.100098</v>
      </c>
      <c r="D519" s="15">
        <v>7552.0</v>
      </c>
      <c r="E519" s="15">
        <v>7586.149902</v>
      </c>
      <c r="F519" s="15">
        <v>7586.149902</v>
      </c>
      <c r="G519" s="15">
        <v>101231.0</v>
      </c>
      <c r="H519" s="19">
        <f t="shared" si="1"/>
        <v>0.005294016322</v>
      </c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8">
        <v>45107.0</v>
      </c>
      <c r="B520" s="15">
        <v>7623.0</v>
      </c>
      <c r="C520" s="15">
        <v>7686.149902</v>
      </c>
      <c r="D520" s="15">
        <v>7575.0</v>
      </c>
      <c r="E520" s="15">
        <v>7588.5</v>
      </c>
      <c r="F520" s="15">
        <v>7588.5</v>
      </c>
      <c r="G520" s="15">
        <v>139681.0</v>
      </c>
      <c r="H520" s="19">
        <f t="shared" si="1"/>
        <v>0.0003097879729</v>
      </c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8">
        <v>45110.0</v>
      </c>
      <c r="B521" s="15">
        <v>7618.049805</v>
      </c>
      <c r="C521" s="15">
        <v>7637.549805</v>
      </c>
      <c r="D521" s="15">
        <v>7520.950195</v>
      </c>
      <c r="E521" s="15">
        <v>7546.299805</v>
      </c>
      <c r="F521" s="15">
        <v>7546.299805</v>
      </c>
      <c r="G521" s="15">
        <v>106546.0</v>
      </c>
      <c r="H521" s="19">
        <f t="shared" si="1"/>
        <v>-0.005561072017</v>
      </c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8">
        <v>45111.0</v>
      </c>
      <c r="B522" s="15">
        <v>7561.5</v>
      </c>
      <c r="C522" s="15">
        <v>7567.700195</v>
      </c>
      <c r="D522" s="15">
        <v>7492.0</v>
      </c>
      <c r="E522" s="15">
        <v>7513.799805</v>
      </c>
      <c r="F522" s="15">
        <v>7513.799805</v>
      </c>
      <c r="G522" s="15">
        <v>70316.0</v>
      </c>
      <c r="H522" s="19">
        <f t="shared" si="1"/>
        <v>-0.004306746464</v>
      </c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8">
        <v>45112.0</v>
      </c>
      <c r="B523" s="15">
        <v>7522.450195</v>
      </c>
      <c r="C523" s="15">
        <v>7585.0</v>
      </c>
      <c r="D523" s="15">
        <v>7506.299805</v>
      </c>
      <c r="E523" s="15">
        <v>7553.049805</v>
      </c>
      <c r="F523" s="15">
        <v>7553.049805</v>
      </c>
      <c r="G523" s="15">
        <v>75250.0</v>
      </c>
      <c r="H523" s="19">
        <f t="shared" si="1"/>
        <v>0.005223721821</v>
      </c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8">
        <v>45113.0</v>
      </c>
      <c r="B524" s="15">
        <v>7566.149902</v>
      </c>
      <c r="C524" s="15">
        <v>7566.899902</v>
      </c>
      <c r="D524" s="15">
        <v>7508.0</v>
      </c>
      <c r="E524" s="15">
        <v>7535.350098</v>
      </c>
      <c r="F524" s="15">
        <v>7535.350098</v>
      </c>
      <c r="G524" s="15">
        <v>78240.0</v>
      </c>
      <c r="H524" s="19">
        <f t="shared" si="1"/>
        <v>-0.002343385448</v>
      </c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8">
        <v>45114.0</v>
      </c>
      <c r="B525" s="15">
        <v>7538.950195</v>
      </c>
      <c r="C525" s="15">
        <v>7600.0</v>
      </c>
      <c r="D525" s="15">
        <v>7515.049805</v>
      </c>
      <c r="E525" s="15">
        <v>7541.649902</v>
      </c>
      <c r="F525" s="15">
        <v>7541.649902</v>
      </c>
      <c r="G525" s="15">
        <v>90023.0</v>
      </c>
      <c r="H525" s="19">
        <f t="shared" si="1"/>
        <v>0.0008360333519</v>
      </c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8">
        <v>45117.0</v>
      </c>
      <c r="B526" s="15">
        <v>7550.0</v>
      </c>
      <c r="C526" s="15">
        <v>7579.549805</v>
      </c>
      <c r="D526" s="15">
        <v>7454.350098</v>
      </c>
      <c r="E526" s="15">
        <v>7487.25</v>
      </c>
      <c r="F526" s="15">
        <v>7487.25</v>
      </c>
      <c r="G526" s="15">
        <v>84656.0</v>
      </c>
      <c r="H526" s="19">
        <f t="shared" si="1"/>
        <v>-0.007213262709</v>
      </c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8">
        <v>45118.0</v>
      </c>
      <c r="B527" s="15">
        <v>7410.0</v>
      </c>
      <c r="C527" s="15">
        <v>7520.850098</v>
      </c>
      <c r="D527" s="15">
        <v>7310.0</v>
      </c>
      <c r="E527" s="15">
        <v>7453.149902</v>
      </c>
      <c r="F527" s="15">
        <v>7453.149902</v>
      </c>
      <c r="G527" s="15">
        <v>250639.0</v>
      </c>
      <c r="H527" s="19">
        <f t="shared" si="1"/>
        <v>-0.004554422251</v>
      </c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8">
        <v>45119.0</v>
      </c>
      <c r="B528" s="15">
        <v>7457.799805</v>
      </c>
      <c r="C528" s="15">
        <v>7512.0</v>
      </c>
      <c r="D528" s="15">
        <v>7410.0</v>
      </c>
      <c r="E528" s="15">
        <v>7431.25</v>
      </c>
      <c r="F528" s="15">
        <v>7431.25</v>
      </c>
      <c r="G528" s="15">
        <v>86187.0</v>
      </c>
      <c r="H528" s="19">
        <f t="shared" si="1"/>
        <v>-0.002938341814</v>
      </c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8">
        <v>45120.0</v>
      </c>
      <c r="B529" s="15">
        <v>7431.25</v>
      </c>
      <c r="C529" s="15">
        <v>7593.700195</v>
      </c>
      <c r="D529" s="15">
        <v>7431.0</v>
      </c>
      <c r="E529" s="15">
        <v>7568.049805</v>
      </c>
      <c r="F529" s="15">
        <v>7568.049805</v>
      </c>
      <c r="G529" s="15">
        <v>192087.0</v>
      </c>
      <c r="H529" s="19">
        <f t="shared" si="1"/>
        <v>0.01840872061</v>
      </c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8">
        <v>45121.0</v>
      </c>
      <c r="B530" s="15">
        <v>7607.200195</v>
      </c>
      <c r="C530" s="15">
        <v>7750.0</v>
      </c>
      <c r="D530" s="15">
        <v>7577.899902</v>
      </c>
      <c r="E530" s="15">
        <v>7730.75</v>
      </c>
      <c r="F530" s="15">
        <v>7730.75</v>
      </c>
      <c r="G530" s="15">
        <v>315095.0</v>
      </c>
      <c r="H530" s="19">
        <f t="shared" si="1"/>
        <v>0.02149829866</v>
      </c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8">
        <v>45124.0</v>
      </c>
      <c r="B531" s="15">
        <v>7766.0</v>
      </c>
      <c r="C531" s="15">
        <v>7846.5</v>
      </c>
      <c r="D531" s="15">
        <v>7690.0</v>
      </c>
      <c r="E531" s="15">
        <v>7719.5</v>
      </c>
      <c r="F531" s="15">
        <v>7719.5</v>
      </c>
      <c r="G531" s="15">
        <v>198416.0</v>
      </c>
      <c r="H531" s="19">
        <f t="shared" si="1"/>
        <v>-0.001455227501</v>
      </c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8">
        <v>45125.0</v>
      </c>
      <c r="B532" s="15">
        <v>7345.049805</v>
      </c>
      <c r="C532" s="15">
        <v>7655.0</v>
      </c>
      <c r="D532" s="15">
        <v>7345.049805</v>
      </c>
      <c r="E532" s="15">
        <v>7542.75</v>
      </c>
      <c r="F532" s="15">
        <v>7542.75</v>
      </c>
      <c r="G532" s="15">
        <v>505141.0</v>
      </c>
      <c r="H532" s="19">
        <f t="shared" si="1"/>
        <v>-0.02289656066</v>
      </c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8">
        <v>45126.0</v>
      </c>
      <c r="B533" s="15">
        <v>7540.0</v>
      </c>
      <c r="C533" s="15">
        <v>7595.0</v>
      </c>
      <c r="D533" s="15">
        <v>7518.0</v>
      </c>
      <c r="E533" s="15">
        <v>7558.899902</v>
      </c>
      <c r="F533" s="15">
        <v>7558.899902</v>
      </c>
      <c r="G533" s="15">
        <v>132383.0</v>
      </c>
      <c r="H533" s="19">
        <f t="shared" si="1"/>
        <v>0.002141115906</v>
      </c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8">
        <v>45127.0</v>
      </c>
      <c r="B534" s="15">
        <v>7575.0</v>
      </c>
      <c r="C534" s="15">
        <v>7576.899902</v>
      </c>
      <c r="D534" s="15">
        <v>7480.0</v>
      </c>
      <c r="E534" s="15">
        <v>7494.299805</v>
      </c>
      <c r="F534" s="15">
        <v>7494.299805</v>
      </c>
      <c r="G534" s="15">
        <v>90406.0</v>
      </c>
      <c r="H534" s="19">
        <f t="shared" si="1"/>
        <v>-0.008546229986</v>
      </c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8">
        <v>45128.0</v>
      </c>
      <c r="B535" s="15">
        <v>7450.0</v>
      </c>
      <c r="C535" s="15">
        <v>7450.0</v>
      </c>
      <c r="D535" s="15">
        <v>7300.0</v>
      </c>
      <c r="E535" s="15">
        <v>7310.850098</v>
      </c>
      <c r="F535" s="15">
        <v>7310.850098</v>
      </c>
      <c r="G535" s="15">
        <v>190064.0</v>
      </c>
      <c r="H535" s="19">
        <f t="shared" si="1"/>
        <v>-0.02447856528</v>
      </c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8">
        <v>45131.0</v>
      </c>
      <c r="B536" s="15">
        <v>7379.049805</v>
      </c>
      <c r="C536" s="15">
        <v>7379.049805</v>
      </c>
      <c r="D536" s="15">
        <v>7241.0</v>
      </c>
      <c r="E536" s="15">
        <v>7256.700195</v>
      </c>
      <c r="F536" s="15">
        <v>7256.700195</v>
      </c>
      <c r="G536" s="15">
        <v>117088.0</v>
      </c>
      <c r="H536" s="19">
        <f t="shared" si="1"/>
        <v>-0.007406786116</v>
      </c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8">
        <v>45132.0</v>
      </c>
      <c r="B537" s="15">
        <v>7289.950195</v>
      </c>
      <c r="C537" s="15">
        <v>7289.950195</v>
      </c>
      <c r="D537" s="15">
        <v>7200.049805</v>
      </c>
      <c r="E537" s="15">
        <v>7228.850098</v>
      </c>
      <c r="F537" s="15">
        <v>7228.850098</v>
      </c>
      <c r="G537" s="15">
        <v>113807.0</v>
      </c>
      <c r="H537" s="19">
        <f t="shared" si="1"/>
        <v>-0.003837845887</v>
      </c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8">
        <v>45133.0</v>
      </c>
      <c r="B538" s="15">
        <v>7290.0</v>
      </c>
      <c r="C538" s="15">
        <v>7300.0</v>
      </c>
      <c r="D538" s="15">
        <v>7212.0</v>
      </c>
      <c r="E538" s="15">
        <v>7226.700195</v>
      </c>
      <c r="F538" s="15">
        <v>7226.700195</v>
      </c>
      <c r="G538" s="15">
        <v>93794.0</v>
      </c>
      <c r="H538" s="19">
        <f t="shared" si="1"/>
        <v>-0.0002974059457</v>
      </c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8">
        <v>45134.0</v>
      </c>
      <c r="B539" s="15">
        <v>7254.049805</v>
      </c>
      <c r="C539" s="15">
        <v>7269.950195</v>
      </c>
      <c r="D539" s="15">
        <v>7214.049805</v>
      </c>
      <c r="E539" s="15">
        <v>7231.049805</v>
      </c>
      <c r="F539" s="15">
        <v>7231.049805</v>
      </c>
      <c r="G539" s="15">
        <v>74652.0</v>
      </c>
      <c r="H539" s="19">
        <f t="shared" si="1"/>
        <v>0.0006018805101</v>
      </c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8">
        <v>45135.0</v>
      </c>
      <c r="B540" s="15">
        <v>7279.950195</v>
      </c>
      <c r="C540" s="15">
        <v>7279.950195</v>
      </c>
      <c r="D540" s="15">
        <v>7205.049805</v>
      </c>
      <c r="E540" s="15">
        <v>7223.049805</v>
      </c>
      <c r="F540" s="15">
        <v>7223.049805</v>
      </c>
      <c r="G540" s="15">
        <v>53585.0</v>
      </c>
      <c r="H540" s="19">
        <f t="shared" si="1"/>
        <v>-0.00110634005</v>
      </c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8">
        <v>45138.0</v>
      </c>
      <c r="B541" s="15">
        <v>7229.950195</v>
      </c>
      <c r="C541" s="15">
        <v>7250.0</v>
      </c>
      <c r="D541" s="15">
        <v>7140.0</v>
      </c>
      <c r="E541" s="15">
        <v>7159.399902</v>
      </c>
      <c r="F541" s="15">
        <v>7159.399902</v>
      </c>
      <c r="G541" s="15">
        <v>141580.0</v>
      </c>
      <c r="H541" s="19">
        <f t="shared" si="1"/>
        <v>-0.008812053733</v>
      </c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8">
        <v>45139.0</v>
      </c>
      <c r="B542" s="15">
        <v>7240.0</v>
      </c>
      <c r="C542" s="15">
        <v>7250.0</v>
      </c>
      <c r="D542" s="15">
        <v>7160.100098</v>
      </c>
      <c r="E542" s="15">
        <v>7185.049805</v>
      </c>
      <c r="F542" s="15">
        <v>7185.049805</v>
      </c>
      <c r="G542" s="15">
        <v>105750.0</v>
      </c>
      <c r="H542" s="19">
        <f t="shared" si="1"/>
        <v>0.003582688962</v>
      </c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8">
        <v>45140.0</v>
      </c>
      <c r="B543" s="15">
        <v>7199.0</v>
      </c>
      <c r="C543" s="15">
        <v>7239.5</v>
      </c>
      <c r="D543" s="15">
        <v>7155.149902</v>
      </c>
      <c r="E543" s="15">
        <v>7187.200195</v>
      </c>
      <c r="F543" s="15">
        <v>7187.200195</v>
      </c>
      <c r="G543" s="15">
        <v>81993.0</v>
      </c>
      <c r="H543" s="19">
        <f t="shared" si="1"/>
        <v>0.0002992867215</v>
      </c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8">
        <v>45141.0</v>
      </c>
      <c r="B544" s="15">
        <v>7187.200195</v>
      </c>
      <c r="C544" s="15">
        <v>7235.0</v>
      </c>
      <c r="D544" s="15">
        <v>7145.0</v>
      </c>
      <c r="E544" s="15">
        <v>7168.850098</v>
      </c>
      <c r="F544" s="15">
        <v>7168.850098</v>
      </c>
      <c r="G544" s="15">
        <v>56859.0</v>
      </c>
      <c r="H544" s="19">
        <f t="shared" si="1"/>
        <v>-0.002553163471</v>
      </c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8">
        <v>45142.0</v>
      </c>
      <c r="B545" s="15">
        <v>7200.0</v>
      </c>
      <c r="C545" s="15">
        <v>7217.0</v>
      </c>
      <c r="D545" s="15">
        <v>7169.799805</v>
      </c>
      <c r="E545" s="15">
        <v>7182.450195</v>
      </c>
      <c r="F545" s="15">
        <v>7182.450195</v>
      </c>
      <c r="G545" s="15">
        <v>76182.0</v>
      </c>
      <c r="H545" s="19">
        <f t="shared" si="1"/>
        <v>0.001897109971</v>
      </c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8">
        <v>45145.0</v>
      </c>
      <c r="B546" s="15">
        <v>7221.700195</v>
      </c>
      <c r="C546" s="15">
        <v>7230.0</v>
      </c>
      <c r="D546" s="15">
        <v>7156.049805</v>
      </c>
      <c r="E546" s="15">
        <v>7177.899902</v>
      </c>
      <c r="F546" s="15">
        <v>7177.899902</v>
      </c>
      <c r="G546" s="15">
        <v>59673.0</v>
      </c>
      <c r="H546" s="19">
        <f t="shared" si="1"/>
        <v>-0.0006335293495</v>
      </c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8">
        <v>45146.0</v>
      </c>
      <c r="B547" s="15">
        <v>7177.899902</v>
      </c>
      <c r="C547" s="15">
        <v>7224.799805</v>
      </c>
      <c r="D547" s="15">
        <v>7150.0</v>
      </c>
      <c r="E547" s="15">
        <v>7162.0</v>
      </c>
      <c r="F547" s="15">
        <v>7162.0</v>
      </c>
      <c r="G547" s="15">
        <v>56597.0</v>
      </c>
      <c r="H547" s="19">
        <f t="shared" si="1"/>
        <v>-0.002215118937</v>
      </c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8">
        <v>45147.0</v>
      </c>
      <c r="B548" s="15">
        <v>7187.0</v>
      </c>
      <c r="C548" s="15">
        <v>7215.0</v>
      </c>
      <c r="D548" s="15">
        <v>7135.0</v>
      </c>
      <c r="E548" s="15">
        <v>7159.950195</v>
      </c>
      <c r="F548" s="15">
        <v>7159.950195</v>
      </c>
      <c r="G548" s="15">
        <v>80609.0</v>
      </c>
      <c r="H548" s="19">
        <f t="shared" si="1"/>
        <v>-0.0002862056688</v>
      </c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8">
        <v>45148.0</v>
      </c>
      <c r="B549" s="15">
        <v>7159.5</v>
      </c>
      <c r="C549" s="15">
        <v>7166.100098</v>
      </c>
      <c r="D549" s="15">
        <v>7075.0</v>
      </c>
      <c r="E549" s="15">
        <v>7084.799805</v>
      </c>
      <c r="F549" s="15">
        <v>7084.799805</v>
      </c>
      <c r="G549" s="15">
        <v>104273.0</v>
      </c>
      <c r="H549" s="19">
        <f t="shared" si="1"/>
        <v>-0.01049593753</v>
      </c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8">
        <v>45149.0</v>
      </c>
      <c r="B550" s="15">
        <v>7094.799805</v>
      </c>
      <c r="C550" s="15">
        <v>7220.0</v>
      </c>
      <c r="D550" s="15">
        <v>7090.0</v>
      </c>
      <c r="E550" s="15">
        <v>7113.75</v>
      </c>
      <c r="F550" s="15">
        <v>7113.75</v>
      </c>
      <c r="G550" s="15">
        <v>111517.0</v>
      </c>
      <c r="H550" s="19">
        <f t="shared" si="1"/>
        <v>0.004086240373</v>
      </c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8">
        <v>45152.0</v>
      </c>
      <c r="B551" s="15">
        <v>7113.0</v>
      </c>
      <c r="C551" s="15">
        <v>7208.850098</v>
      </c>
      <c r="D551" s="15">
        <v>7050.0</v>
      </c>
      <c r="E551" s="15">
        <v>7073.450195</v>
      </c>
      <c r="F551" s="15">
        <v>7073.450195</v>
      </c>
      <c r="G551" s="15">
        <v>101383.0</v>
      </c>
      <c r="H551" s="19">
        <f t="shared" si="1"/>
        <v>-0.005665057811</v>
      </c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8">
        <v>45154.0</v>
      </c>
      <c r="B552" s="15">
        <v>7070.0</v>
      </c>
      <c r="C552" s="15">
        <v>7146.700195</v>
      </c>
      <c r="D552" s="15">
        <v>7060.0</v>
      </c>
      <c r="E552" s="15">
        <v>7065.600098</v>
      </c>
      <c r="F552" s="15">
        <v>7065.600098</v>
      </c>
      <c r="G552" s="15">
        <v>84469.0</v>
      </c>
      <c r="H552" s="19">
        <f t="shared" si="1"/>
        <v>-0.001109797452</v>
      </c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8">
        <v>45155.0</v>
      </c>
      <c r="B553" s="15">
        <v>7075.149902</v>
      </c>
      <c r="C553" s="15">
        <v>7129.950195</v>
      </c>
      <c r="D553" s="15">
        <v>7060.0</v>
      </c>
      <c r="E553" s="15">
        <v>7080.200195</v>
      </c>
      <c r="F553" s="15">
        <v>7080.200195</v>
      </c>
      <c r="G553" s="15">
        <v>59336.0</v>
      </c>
      <c r="H553" s="19">
        <f t="shared" si="1"/>
        <v>0.002066363338</v>
      </c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8">
        <v>45156.0</v>
      </c>
      <c r="B554" s="15">
        <v>7080.0</v>
      </c>
      <c r="C554" s="15">
        <v>7109.5</v>
      </c>
      <c r="D554" s="15">
        <v>6992.049805</v>
      </c>
      <c r="E554" s="15">
        <v>7008.149902</v>
      </c>
      <c r="F554" s="15">
        <v>7008.149902</v>
      </c>
      <c r="G554" s="15">
        <v>87087.0</v>
      </c>
      <c r="H554" s="19">
        <f t="shared" si="1"/>
        <v>-0.01017630731</v>
      </c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8">
        <v>45159.0</v>
      </c>
      <c r="B555" s="15">
        <v>7010.0</v>
      </c>
      <c r="C555" s="15">
        <v>7065.0</v>
      </c>
      <c r="D555" s="15">
        <v>7003.549805</v>
      </c>
      <c r="E555" s="15">
        <v>7016.799805</v>
      </c>
      <c r="F555" s="15">
        <v>7016.799805</v>
      </c>
      <c r="G555" s="15">
        <v>54283.0</v>
      </c>
      <c r="H555" s="19">
        <f t="shared" si="1"/>
        <v>0.001234263411</v>
      </c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8">
        <v>45160.0</v>
      </c>
      <c r="B556" s="15">
        <v>7016.799805</v>
      </c>
      <c r="C556" s="15">
        <v>7045.0</v>
      </c>
      <c r="D556" s="15">
        <v>7016.799805</v>
      </c>
      <c r="E556" s="15">
        <v>7024.049805</v>
      </c>
      <c r="F556" s="15">
        <v>7024.049805</v>
      </c>
      <c r="G556" s="15">
        <v>48289.0</v>
      </c>
      <c r="H556" s="19">
        <f t="shared" si="1"/>
        <v>0.001033234552</v>
      </c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8">
        <v>45161.0</v>
      </c>
      <c r="B557" s="15">
        <v>7024.049805</v>
      </c>
      <c r="C557" s="15">
        <v>7188.0</v>
      </c>
      <c r="D557" s="15">
        <v>7024.049805</v>
      </c>
      <c r="E557" s="15">
        <v>7106.75</v>
      </c>
      <c r="F557" s="15">
        <v>7106.75</v>
      </c>
      <c r="G557" s="15">
        <v>149840.0</v>
      </c>
      <c r="H557" s="19">
        <f t="shared" si="1"/>
        <v>0.01177386227</v>
      </c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8">
        <v>45162.0</v>
      </c>
      <c r="B558" s="15">
        <v>7230.0</v>
      </c>
      <c r="C558" s="15">
        <v>7290.0</v>
      </c>
      <c r="D558" s="15">
        <v>7215.0</v>
      </c>
      <c r="E558" s="15">
        <v>7278.649902</v>
      </c>
      <c r="F558" s="15">
        <v>7278.649902</v>
      </c>
      <c r="G558" s="15">
        <v>219977.0</v>
      </c>
      <c r="H558" s="19">
        <f t="shared" si="1"/>
        <v>0.02418825792</v>
      </c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8">
        <v>45163.0</v>
      </c>
      <c r="B559" s="15">
        <v>7279.0</v>
      </c>
      <c r="C559" s="15">
        <v>7325.0</v>
      </c>
      <c r="D559" s="15">
        <v>7223.299805</v>
      </c>
      <c r="E559" s="15">
        <v>7301.450195</v>
      </c>
      <c r="F559" s="15">
        <v>7301.450195</v>
      </c>
      <c r="G559" s="15">
        <v>131217.0</v>
      </c>
      <c r="H559" s="19">
        <f t="shared" si="1"/>
        <v>0.003132489309</v>
      </c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8">
        <v>45166.0</v>
      </c>
      <c r="B560" s="15">
        <v>7330.0</v>
      </c>
      <c r="C560" s="15">
        <v>7389.899902</v>
      </c>
      <c r="D560" s="15">
        <v>7302.899902</v>
      </c>
      <c r="E560" s="15">
        <v>7374.149902</v>
      </c>
      <c r="F560" s="15">
        <v>7374.149902</v>
      </c>
      <c r="G560" s="15">
        <v>101737.0</v>
      </c>
      <c r="H560" s="19">
        <f t="shared" si="1"/>
        <v>0.009956885969</v>
      </c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8">
        <v>45167.0</v>
      </c>
      <c r="B561" s="15">
        <v>7389.0</v>
      </c>
      <c r="C561" s="15">
        <v>7397.0</v>
      </c>
      <c r="D561" s="15">
        <v>7280.0</v>
      </c>
      <c r="E561" s="15">
        <v>7383.350098</v>
      </c>
      <c r="F561" s="15">
        <v>7383.350098</v>
      </c>
      <c r="G561" s="15">
        <v>110039.0</v>
      </c>
      <c r="H561" s="19">
        <f t="shared" si="1"/>
        <v>0.001247628014</v>
      </c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8">
        <v>45168.0</v>
      </c>
      <c r="B562" s="15">
        <v>7412.0</v>
      </c>
      <c r="C562" s="15">
        <v>7419.899902</v>
      </c>
      <c r="D562" s="15">
        <v>7371.0</v>
      </c>
      <c r="E562" s="15">
        <v>7402.049805</v>
      </c>
      <c r="F562" s="15">
        <v>7402.049805</v>
      </c>
      <c r="G562" s="15">
        <v>82450.0</v>
      </c>
      <c r="H562" s="19">
        <f t="shared" si="1"/>
        <v>0.002532685942</v>
      </c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8">
        <v>45169.0</v>
      </c>
      <c r="B563" s="15">
        <v>7419.950195</v>
      </c>
      <c r="C563" s="15">
        <v>7424.0</v>
      </c>
      <c r="D563" s="15">
        <v>7053.5</v>
      </c>
      <c r="E563" s="15">
        <v>7247.100098</v>
      </c>
      <c r="F563" s="15">
        <v>7247.100098</v>
      </c>
      <c r="G563" s="15">
        <v>225869.0</v>
      </c>
      <c r="H563" s="19">
        <f t="shared" si="1"/>
        <v>-0.02093335104</v>
      </c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8">
        <v>45170.0</v>
      </c>
      <c r="B564" s="15">
        <v>7300.0</v>
      </c>
      <c r="C564" s="15">
        <v>7318.899902</v>
      </c>
      <c r="D564" s="15">
        <v>7201.049805</v>
      </c>
      <c r="E564" s="15">
        <v>7284.100098</v>
      </c>
      <c r="F564" s="15">
        <v>7284.100098</v>
      </c>
      <c r="G564" s="15">
        <v>98424.0</v>
      </c>
      <c r="H564" s="19">
        <f t="shared" si="1"/>
        <v>0.005105490403</v>
      </c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8">
        <v>45173.0</v>
      </c>
      <c r="B565" s="15">
        <v>7310.0</v>
      </c>
      <c r="C565" s="15">
        <v>7330.549805</v>
      </c>
      <c r="D565" s="15">
        <v>7219.950195</v>
      </c>
      <c r="E565" s="15">
        <v>7319.799805</v>
      </c>
      <c r="F565" s="15">
        <v>7319.799805</v>
      </c>
      <c r="G565" s="15">
        <v>100661.0</v>
      </c>
      <c r="H565" s="19">
        <f t="shared" si="1"/>
        <v>0.004901045636</v>
      </c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8">
        <v>45174.0</v>
      </c>
      <c r="B566" s="15">
        <v>7280.0</v>
      </c>
      <c r="C566" s="15">
        <v>7440.0</v>
      </c>
      <c r="D566" s="15">
        <v>7280.0</v>
      </c>
      <c r="E566" s="15">
        <v>7405.299805</v>
      </c>
      <c r="F566" s="15">
        <v>7405.299805</v>
      </c>
      <c r="G566" s="15">
        <v>211914.0</v>
      </c>
      <c r="H566" s="19">
        <f t="shared" si="1"/>
        <v>0.01168064732</v>
      </c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8">
        <v>45175.0</v>
      </c>
      <c r="B567" s="15">
        <v>7442.25</v>
      </c>
      <c r="C567" s="15">
        <v>7465.0</v>
      </c>
      <c r="D567" s="15">
        <v>7335.0</v>
      </c>
      <c r="E567" s="15">
        <v>7356.200195</v>
      </c>
      <c r="F567" s="15">
        <v>7356.200195</v>
      </c>
      <c r="G567" s="15">
        <v>72454.0</v>
      </c>
      <c r="H567" s="19">
        <f t="shared" si="1"/>
        <v>-0.006630333855</v>
      </c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8">
        <v>45176.0</v>
      </c>
      <c r="B568" s="15">
        <v>7354.0</v>
      </c>
      <c r="C568" s="15">
        <v>7442.0</v>
      </c>
      <c r="D568" s="15">
        <v>7320.049805</v>
      </c>
      <c r="E568" s="15">
        <v>7399.049805</v>
      </c>
      <c r="F568" s="15">
        <v>7399.049805</v>
      </c>
      <c r="G568" s="15">
        <v>137742.0</v>
      </c>
      <c r="H568" s="19">
        <f t="shared" si="1"/>
        <v>0.005824965181</v>
      </c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8">
        <v>45177.0</v>
      </c>
      <c r="B569" s="15">
        <v>7409.899902</v>
      </c>
      <c r="C569" s="15">
        <v>7443.950195</v>
      </c>
      <c r="D569" s="15">
        <v>7355.0</v>
      </c>
      <c r="E569" s="15">
        <v>7366.200195</v>
      </c>
      <c r="F569" s="15">
        <v>7366.200195</v>
      </c>
      <c r="G569" s="15">
        <v>60782.0</v>
      </c>
      <c r="H569" s="19">
        <f t="shared" si="1"/>
        <v>-0.004439706566</v>
      </c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8">
        <v>45180.0</v>
      </c>
      <c r="B570" s="15">
        <v>7370.0</v>
      </c>
      <c r="C570" s="15">
        <v>7424.950195</v>
      </c>
      <c r="D570" s="15">
        <v>7370.0</v>
      </c>
      <c r="E570" s="15">
        <v>7402.149902</v>
      </c>
      <c r="F570" s="15">
        <v>7402.149902</v>
      </c>
      <c r="G570" s="15">
        <v>103972.0</v>
      </c>
      <c r="H570" s="19">
        <f t="shared" si="1"/>
        <v>0.004880359758</v>
      </c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8">
        <v>45181.0</v>
      </c>
      <c r="B571" s="15">
        <v>7410.0</v>
      </c>
      <c r="C571" s="15">
        <v>7430.0</v>
      </c>
      <c r="D571" s="15">
        <v>7253.0</v>
      </c>
      <c r="E571" s="15">
        <v>7366.850098</v>
      </c>
      <c r="F571" s="15">
        <v>7366.850098</v>
      </c>
      <c r="G571" s="15">
        <v>111611.0</v>
      </c>
      <c r="H571" s="19">
        <f t="shared" si="1"/>
        <v>-0.0047688583</v>
      </c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8">
        <v>45182.0</v>
      </c>
      <c r="B572" s="15">
        <v>7358.0</v>
      </c>
      <c r="C572" s="15">
        <v>7359.850098</v>
      </c>
      <c r="D572" s="15">
        <v>7252.100098</v>
      </c>
      <c r="E572" s="15">
        <v>7264.399902</v>
      </c>
      <c r="F572" s="15">
        <v>7264.399902</v>
      </c>
      <c r="G572" s="15">
        <v>105616.0</v>
      </c>
      <c r="H572" s="19">
        <f t="shared" si="1"/>
        <v>-0.01390692014</v>
      </c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8">
        <v>45183.0</v>
      </c>
      <c r="B573" s="15">
        <v>7300.0</v>
      </c>
      <c r="C573" s="15">
        <v>7348.0</v>
      </c>
      <c r="D573" s="15">
        <v>7285.0</v>
      </c>
      <c r="E573" s="15">
        <v>7310.649902</v>
      </c>
      <c r="F573" s="15">
        <v>7310.649902</v>
      </c>
      <c r="G573" s="15">
        <v>47205.0</v>
      </c>
      <c r="H573" s="19">
        <f t="shared" si="1"/>
        <v>0.006366664917</v>
      </c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8">
        <v>45184.0</v>
      </c>
      <c r="B574" s="15">
        <v>7332.0</v>
      </c>
      <c r="C574" s="15">
        <v>7360.0</v>
      </c>
      <c r="D574" s="15">
        <v>7201.049805</v>
      </c>
      <c r="E574" s="15">
        <v>7234.649902</v>
      </c>
      <c r="F574" s="15">
        <v>7234.649902</v>
      </c>
      <c r="G574" s="15">
        <v>92775.0</v>
      </c>
      <c r="H574" s="19">
        <f t="shared" si="1"/>
        <v>-0.01039579258</v>
      </c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8">
        <v>45187.0</v>
      </c>
      <c r="B575" s="15">
        <v>7260.0</v>
      </c>
      <c r="C575" s="15">
        <v>7316.0</v>
      </c>
      <c r="D575" s="15">
        <v>7239.0</v>
      </c>
      <c r="E575" s="15">
        <v>7288.149902</v>
      </c>
      <c r="F575" s="15">
        <v>7288.149902</v>
      </c>
      <c r="G575" s="15">
        <v>65434.0</v>
      </c>
      <c r="H575" s="19">
        <f t="shared" si="1"/>
        <v>0.007394967376</v>
      </c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8">
        <v>45189.0</v>
      </c>
      <c r="B576" s="15">
        <v>7268.950195</v>
      </c>
      <c r="C576" s="15">
        <v>7311.0</v>
      </c>
      <c r="D576" s="15">
        <v>7230.0</v>
      </c>
      <c r="E576" s="15">
        <v>7301.899902</v>
      </c>
      <c r="F576" s="15">
        <v>7301.899902</v>
      </c>
      <c r="G576" s="15">
        <v>61657.0</v>
      </c>
      <c r="H576" s="19">
        <f t="shared" si="1"/>
        <v>0.001886624203</v>
      </c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8">
        <v>45190.0</v>
      </c>
      <c r="B577" s="15">
        <v>7300.0</v>
      </c>
      <c r="C577" s="15">
        <v>7303.0</v>
      </c>
      <c r="D577" s="15">
        <v>7222.0</v>
      </c>
      <c r="E577" s="15">
        <v>7285.950195</v>
      </c>
      <c r="F577" s="15">
        <v>7285.950195</v>
      </c>
      <c r="G577" s="15">
        <v>64624.0</v>
      </c>
      <c r="H577" s="19">
        <f t="shared" si="1"/>
        <v>-0.002184322877</v>
      </c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8">
        <v>45191.0</v>
      </c>
      <c r="B578" s="15">
        <v>7308.950195</v>
      </c>
      <c r="C578" s="15">
        <v>7317.0</v>
      </c>
      <c r="D578" s="15">
        <v>7240.0</v>
      </c>
      <c r="E578" s="15">
        <v>7254.850098</v>
      </c>
      <c r="F578" s="15">
        <v>7254.850098</v>
      </c>
      <c r="G578" s="15">
        <v>35750.0</v>
      </c>
      <c r="H578" s="19">
        <f t="shared" si="1"/>
        <v>-0.004268502552</v>
      </c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8">
        <v>45194.0</v>
      </c>
      <c r="B579" s="15">
        <v>7271.950195</v>
      </c>
      <c r="C579" s="15">
        <v>7290.25</v>
      </c>
      <c r="D579" s="15">
        <v>7220.700195</v>
      </c>
      <c r="E579" s="15">
        <v>7267.75</v>
      </c>
      <c r="F579" s="15">
        <v>7267.75</v>
      </c>
      <c r="G579" s="15">
        <v>45714.0</v>
      </c>
      <c r="H579" s="19">
        <f t="shared" si="1"/>
        <v>0.001778107311</v>
      </c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8">
        <v>45195.0</v>
      </c>
      <c r="B580" s="15">
        <v>7270.0</v>
      </c>
      <c r="C580" s="15">
        <v>7374.0</v>
      </c>
      <c r="D580" s="15">
        <v>7240.149902</v>
      </c>
      <c r="E580" s="15">
        <v>7310.899902</v>
      </c>
      <c r="F580" s="15">
        <v>7310.899902</v>
      </c>
      <c r="G580" s="15">
        <v>74758.0</v>
      </c>
      <c r="H580" s="19">
        <f t="shared" si="1"/>
        <v>0.005937174779</v>
      </c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8">
        <v>45196.0</v>
      </c>
      <c r="B581" s="15">
        <v>7310.899902</v>
      </c>
      <c r="C581" s="15">
        <v>7329.950195</v>
      </c>
      <c r="D581" s="15">
        <v>7239.549805</v>
      </c>
      <c r="E581" s="15">
        <v>7301.700195</v>
      </c>
      <c r="F581" s="15">
        <v>7301.700195</v>
      </c>
      <c r="G581" s="15">
        <v>48873.0</v>
      </c>
      <c r="H581" s="19">
        <f t="shared" si="1"/>
        <v>-0.001258354939</v>
      </c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8">
        <v>45197.0</v>
      </c>
      <c r="B582" s="15">
        <v>7339.0</v>
      </c>
      <c r="C582" s="15">
        <v>7339.0</v>
      </c>
      <c r="D582" s="15">
        <v>7205.0</v>
      </c>
      <c r="E582" s="15">
        <v>7228.0</v>
      </c>
      <c r="F582" s="15">
        <v>7228.0</v>
      </c>
      <c r="G582" s="15">
        <v>46573.0</v>
      </c>
      <c r="H582" s="19">
        <f t="shared" si="1"/>
        <v>-0.0100935663</v>
      </c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8">
        <v>45198.0</v>
      </c>
      <c r="B583" s="15">
        <v>7248.0</v>
      </c>
      <c r="C583" s="15">
        <v>7264.0</v>
      </c>
      <c r="D583" s="15">
        <v>7206.0</v>
      </c>
      <c r="E583" s="15">
        <v>7227.149902</v>
      </c>
      <c r="F583" s="15">
        <v>7227.149902</v>
      </c>
      <c r="G583" s="15">
        <v>50735.0</v>
      </c>
      <c r="H583" s="19">
        <f t="shared" si="1"/>
        <v>-0.0001176117875</v>
      </c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8">
        <v>45202.0</v>
      </c>
      <c r="B584" s="15">
        <v>7260.0</v>
      </c>
      <c r="C584" s="15">
        <v>7270.0</v>
      </c>
      <c r="D584" s="15">
        <v>7172.0</v>
      </c>
      <c r="E584" s="15">
        <v>7210.700195</v>
      </c>
      <c r="F584" s="15">
        <v>7210.700195</v>
      </c>
      <c r="G584" s="15">
        <v>123949.0</v>
      </c>
      <c r="H584" s="19">
        <f t="shared" si="1"/>
        <v>-0.00227609877</v>
      </c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8">
        <v>45203.0</v>
      </c>
      <c r="B585" s="15">
        <v>7200.0</v>
      </c>
      <c r="C585" s="15">
        <v>7325.25</v>
      </c>
      <c r="D585" s="15">
        <v>7180.0</v>
      </c>
      <c r="E585" s="15">
        <v>7281.899902</v>
      </c>
      <c r="F585" s="15">
        <v>7281.899902</v>
      </c>
      <c r="G585" s="15">
        <v>80466.0</v>
      </c>
      <c r="H585" s="19">
        <f t="shared" si="1"/>
        <v>0.009874173808</v>
      </c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8">
        <v>45204.0</v>
      </c>
      <c r="B586" s="15">
        <v>7290.0</v>
      </c>
      <c r="C586" s="15">
        <v>7309.0</v>
      </c>
      <c r="D586" s="15">
        <v>7221.100098</v>
      </c>
      <c r="E586" s="15">
        <v>7257.200195</v>
      </c>
      <c r="F586" s="15">
        <v>7257.200195</v>
      </c>
      <c r="G586" s="15">
        <v>70537.0</v>
      </c>
      <c r="H586" s="19">
        <f t="shared" si="1"/>
        <v>-0.003391931684</v>
      </c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8">
        <v>45205.0</v>
      </c>
      <c r="B587" s="15">
        <v>7270.0</v>
      </c>
      <c r="C587" s="15">
        <v>7348.0</v>
      </c>
      <c r="D587" s="15">
        <v>7264.049805</v>
      </c>
      <c r="E587" s="15">
        <v>7302.75</v>
      </c>
      <c r="F587" s="15">
        <v>7302.75</v>
      </c>
      <c r="G587" s="15">
        <v>65339.0</v>
      </c>
      <c r="H587" s="19">
        <f t="shared" si="1"/>
        <v>0.006276498343</v>
      </c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8">
        <v>45208.0</v>
      </c>
      <c r="B588" s="15">
        <v>7199.950195</v>
      </c>
      <c r="C588" s="15">
        <v>7315.899902</v>
      </c>
      <c r="D588" s="15">
        <v>7185.0</v>
      </c>
      <c r="E588" s="15">
        <v>7299.399902</v>
      </c>
      <c r="F588" s="15">
        <v>7299.399902</v>
      </c>
      <c r="G588" s="15">
        <v>84115.0</v>
      </c>
      <c r="H588" s="19">
        <f t="shared" si="1"/>
        <v>-0.0004587447195</v>
      </c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8">
        <v>45209.0</v>
      </c>
      <c r="B589" s="15">
        <v>7309.950195</v>
      </c>
      <c r="C589" s="15">
        <v>7415.799805</v>
      </c>
      <c r="D589" s="15">
        <v>7283.399902</v>
      </c>
      <c r="E589" s="15">
        <v>7359.399902</v>
      </c>
      <c r="F589" s="15">
        <v>7359.399902</v>
      </c>
      <c r="G589" s="15">
        <v>110152.0</v>
      </c>
      <c r="H589" s="19">
        <f t="shared" si="1"/>
        <v>0.008219853797</v>
      </c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8">
        <v>45210.0</v>
      </c>
      <c r="B590" s="15">
        <v>7399.0</v>
      </c>
      <c r="C590" s="15">
        <v>7490.0</v>
      </c>
      <c r="D590" s="15">
        <v>7299.0</v>
      </c>
      <c r="E590" s="15">
        <v>7315.100098</v>
      </c>
      <c r="F590" s="15">
        <v>7315.100098</v>
      </c>
      <c r="G590" s="15">
        <v>163676.0</v>
      </c>
      <c r="H590" s="19">
        <f t="shared" si="1"/>
        <v>-0.006019485908</v>
      </c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8">
        <v>45211.0</v>
      </c>
      <c r="B591" s="15">
        <v>7360.0</v>
      </c>
      <c r="C591" s="15">
        <v>7385.399902</v>
      </c>
      <c r="D591" s="15">
        <v>7301.799805</v>
      </c>
      <c r="E591" s="15">
        <v>7355.299805</v>
      </c>
      <c r="F591" s="15">
        <v>7355.299805</v>
      </c>
      <c r="G591" s="15">
        <v>59816.0</v>
      </c>
      <c r="H591" s="19">
        <f t="shared" si="1"/>
        <v>0.005495441821</v>
      </c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8">
        <v>45212.0</v>
      </c>
      <c r="B592" s="15">
        <v>7344.950195</v>
      </c>
      <c r="C592" s="15">
        <v>7462.5</v>
      </c>
      <c r="D592" s="15">
        <v>7311.0</v>
      </c>
      <c r="E592" s="15">
        <v>7443.75</v>
      </c>
      <c r="F592" s="15">
        <v>7443.75</v>
      </c>
      <c r="G592" s="15">
        <v>147510.0</v>
      </c>
      <c r="H592" s="19">
        <f t="shared" si="1"/>
        <v>0.0120253691</v>
      </c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8">
        <v>45215.0</v>
      </c>
      <c r="B593" s="15">
        <v>7490.0</v>
      </c>
      <c r="C593" s="15">
        <v>7490.0</v>
      </c>
      <c r="D593" s="15">
        <v>7385.0</v>
      </c>
      <c r="E593" s="15">
        <v>7477.049805</v>
      </c>
      <c r="F593" s="15">
        <v>7477.049805</v>
      </c>
      <c r="G593" s="15">
        <v>100722.0</v>
      </c>
      <c r="H593" s="19">
        <f t="shared" si="1"/>
        <v>0.004473525441</v>
      </c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8">
        <v>45216.0</v>
      </c>
      <c r="B594" s="15">
        <v>7496.950195</v>
      </c>
      <c r="C594" s="15">
        <v>7510.0</v>
      </c>
      <c r="D594" s="15">
        <v>7400.0</v>
      </c>
      <c r="E594" s="15">
        <v>7445.350098</v>
      </c>
      <c r="F594" s="15">
        <v>7445.350098</v>
      </c>
      <c r="G594" s="15">
        <v>112435.0</v>
      </c>
      <c r="H594" s="19">
        <f t="shared" si="1"/>
        <v>-0.004239600889</v>
      </c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8">
        <v>45217.0</v>
      </c>
      <c r="B595" s="15">
        <v>7485.0</v>
      </c>
      <c r="C595" s="15">
        <v>7694.399902</v>
      </c>
      <c r="D595" s="15">
        <v>7480.5</v>
      </c>
      <c r="E595" s="15">
        <v>7608.899902</v>
      </c>
      <c r="F595" s="15">
        <v>7608.899902</v>
      </c>
      <c r="G595" s="15">
        <v>497848.0</v>
      </c>
      <c r="H595" s="19">
        <f t="shared" si="1"/>
        <v>0.0219667043</v>
      </c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8">
        <v>45218.0</v>
      </c>
      <c r="B596" s="15">
        <v>7608.899902</v>
      </c>
      <c r="C596" s="15">
        <v>7758.899902</v>
      </c>
      <c r="D596" s="15">
        <v>7569.950195</v>
      </c>
      <c r="E596" s="15">
        <v>7704.049805</v>
      </c>
      <c r="F596" s="15">
        <v>7704.049805</v>
      </c>
      <c r="G596" s="15">
        <v>282308.0</v>
      </c>
      <c r="H596" s="19">
        <f t="shared" si="1"/>
        <v>0.01250508013</v>
      </c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8">
        <v>45219.0</v>
      </c>
      <c r="B597" s="15">
        <v>7736.600098</v>
      </c>
      <c r="C597" s="15">
        <v>7738.0</v>
      </c>
      <c r="D597" s="15">
        <v>7501.0</v>
      </c>
      <c r="E597" s="15">
        <v>7564.399902</v>
      </c>
      <c r="F597" s="15">
        <v>7564.399902</v>
      </c>
      <c r="G597" s="15">
        <v>119490.0</v>
      </c>
      <c r="H597" s="19">
        <f t="shared" si="1"/>
        <v>-0.01812681726</v>
      </c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8">
        <v>45222.0</v>
      </c>
      <c r="B598" s="15">
        <v>7564.399902</v>
      </c>
      <c r="C598" s="15">
        <v>7612.0</v>
      </c>
      <c r="D598" s="15">
        <v>7300.0</v>
      </c>
      <c r="E598" s="15">
        <v>7336.450195</v>
      </c>
      <c r="F598" s="15">
        <v>7336.450195</v>
      </c>
      <c r="G598" s="15">
        <v>117797.0</v>
      </c>
      <c r="H598" s="19">
        <f t="shared" si="1"/>
        <v>-0.03013453942</v>
      </c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8">
        <v>45224.0</v>
      </c>
      <c r="B599" s="15">
        <v>7399.850098</v>
      </c>
      <c r="C599" s="15">
        <v>7590.0</v>
      </c>
      <c r="D599" s="15">
        <v>7381.5</v>
      </c>
      <c r="E599" s="15">
        <v>7545.25</v>
      </c>
      <c r="F599" s="15">
        <v>7545.25</v>
      </c>
      <c r="G599" s="15">
        <v>198994.0</v>
      </c>
      <c r="H599" s="19">
        <f t="shared" si="1"/>
        <v>0.02846060417</v>
      </c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8">
        <v>45225.0</v>
      </c>
      <c r="B600" s="15">
        <v>7500.0</v>
      </c>
      <c r="C600" s="15">
        <v>7520.0</v>
      </c>
      <c r="D600" s="15">
        <v>7380.0</v>
      </c>
      <c r="E600" s="15">
        <v>7463.5</v>
      </c>
      <c r="F600" s="15">
        <v>7463.5</v>
      </c>
      <c r="G600" s="15">
        <v>126826.0</v>
      </c>
      <c r="H600" s="19">
        <f t="shared" si="1"/>
        <v>-0.01083463106</v>
      </c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8">
        <v>45226.0</v>
      </c>
      <c r="B601" s="15">
        <v>7500.0</v>
      </c>
      <c r="C601" s="15">
        <v>7655.0</v>
      </c>
      <c r="D601" s="15">
        <v>7500.0</v>
      </c>
      <c r="E601" s="15">
        <v>7601.600098</v>
      </c>
      <c r="F601" s="15">
        <v>7601.600098</v>
      </c>
      <c r="G601" s="15">
        <v>110987.0</v>
      </c>
      <c r="H601" s="19">
        <f t="shared" si="1"/>
        <v>0.01850339626</v>
      </c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8">
        <v>45229.0</v>
      </c>
      <c r="B602" s="15">
        <v>7660.0</v>
      </c>
      <c r="C602" s="15">
        <v>7685.0</v>
      </c>
      <c r="D602" s="15">
        <v>7580.549805</v>
      </c>
      <c r="E602" s="15">
        <v>7639.25</v>
      </c>
      <c r="F602" s="15">
        <v>7639.25</v>
      </c>
      <c r="G602" s="15">
        <v>110688.0</v>
      </c>
      <c r="H602" s="19">
        <f t="shared" si="1"/>
        <v>0.004952891696</v>
      </c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8">
        <v>45230.0</v>
      </c>
      <c r="B603" s="15">
        <v>7650.950195</v>
      </c>
      <c r="C603" s="15">
        <v>7680.950195</v>
      </c>
      <c r="D603" s="15">
        <v>7585.0</v>
      </c>
      <c r="E603" s="15">
        <v>7625.200195</v>
      </c>
      <c r="F603" s="15">
        <v>7625.200195</v>
      </c>
      <c r="G603" s="15">
        <v>61348.0</v>
      </c>
      <c r="H603" s="19">
        <f t="shared" si="1"/>
        <v>-0.001839160258</v>
      </c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8">
        <v>45231.0</v>
      </c>
      <c r="B604" s="15">
        <v>7650.0</v>
      </c>
      <c r="C604" s="15">
        <v>7657.75</v>
      </c>
      <c r="D604" s="15">
        <v>7450.0</v>
      </c>
      <c r="E604" s="15">
        <v>7483.399902</v>
      </c>
      <c r="F604" s="15">
        <v>7483.399902</v>
      </c>
      <c r="G604" s="15">
        <v>87104.0</v>
      </c>
      <c r="H604" s="19">
        <f t="shared" si="1"/>
        <v>-0.01859627149</v>
      </c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8">
        <v>45232.0</v>
      </c>
      <c r="B605" s="15">
        <v>7550.950195</v>
      </c>
      <c r="C605" s="15">
        <v>7587.950195</v>
      </c>
      <c r="D605" s="15">
        <v>7413.700195</v>
      </c>
      <c r="E605" s="15">
        <v>7496.899902</v>
      </c>
      <c r="F605" s="15">
        <v>7496.899902</v>
      </c>
      <c r="G605" s="15">
        <v>105161.0</v>
      </c>
      <c r="H605" s="19">
        <f t="shared" si="1"/>
        <v>0.001803992861</v>
      </c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8">
        <v>45233.0</v>
      </c>
      <c r="B606" s="15">
        <v>7519.0</v>
      </c>
      <c r="C606" s="15">
        <v>7640.0</v>
      </c>
      <c r="D606" s="15">
        <v>7501.100098</v>
      </c>
      <c r="E606" s="15">
        <v>7617.0</v>
      </c>
      <c r="F606" s="15">
        <v>7617.0</v>
      </c>
      <c r="G606" s="15">
        <v>75629.0</v>
      </c>
      <c r="H606" s="19">
        <f t="shared" si="1"/>
        <v>0.0160199682</v>
      </c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8">
        <v>45236.0</v>
      </c>
      <c r="B607" s="15">
        <v>7673.350098</v>
      </c>
      <c r="C607" s="15">
        <v>7850.0</v>
      </c>
      <c r="D607" s="15">
        <v>7660.049805</v>
      </c>
      <c r="E607" s="15">
        <v>7831.600098</v>
      </c>
      <c r="F607" s="15">
        <v>7831.600098</v>
      </c>
      <c r="G607" s="15">
        <v>231690.0</v>
      </c>
      <c r="H607" s="19">
        <f t="shared" si="1"/>
        <v>0.02817383458</v>
      </c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8">
        <v>45237.0</v>
      </c>
      <c r="B608" s="15">
        <v>7880.0</v>
      </c>
      <c r="C608" s="15">
        <v>8204.049805</v>
      </c>
      <c r="D608" s="15">
        <v>7860.149902</v>
      </c>
      <c r="E608" s="15">
        <v>8171.149902</v>
      </c>
      <c r="F608" s="15">
        <v>8171.149902</v>
      </c>
      <c r="G608" s="15">
        <v>703184.0</v>
      </c>
      <c r="H608" s="19">
        <f t="shared" si="1"/>
        <v>0.0433563767</v>
      </c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8">
        <v>45238.0</v>
      </c>
      <c r="B609" s="15">
        <v>8240.0</v>
      </c>
      <c r="C609" s="15">
        <v>8349.950195</v>
      </c>
      <c r="D609" s="15">
        <v>8160.0</v>
      </c>
      <c r="E609" s="15">
        <v>8242.900391</v>
      </c>
      <c r="F609" s="15">
        <v>8242.900391</v>
      </c>
      <c r="G609" s="15">
        <v>239800.0</v>
      </c>
      <c r="H609" s="19">
        <f t="shared" si="1"/>
        <v>0.008780953704</v>
      </c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8">
        <v>45239.0</v>
      </c>
      <c r="B610" s="15">
        <v>8205.049805</v>
      </c>
      <c r="C610" s="15">
        <v>8219.849609</v>
      </c>
      <c r="D610" s="15">
        <v>8011.549805</v>
      </c>
      <c r="E610" s="15">
        <v>8050.899902</v>
      </c>
      <c r="F610" s="15">
        <v>8050.899902</v>
      </c>
      <c r="G610" s="15">
        <v>148049.0</v>
      </c>
      <c r="H610" s="19">
        <f t="shared" si="1"/>
        <v>-0.02329283139</v>
      </c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8">
        <v>45240.0</v>
      </c>
      <c r="B611" s="15">
        <v>8090.950195</v>
      </c>
      <c r="C611" s="15">
        <v>8091.0</v>
      </c>
      <c r="D611" s="15">
        <v>7955.549805</v>
      </c>
      <c r="E611" s="15">
        <v>8055.049805</v>
      </c>
      <c r="F611" s="15">
        <v>8055.049805</v>
      </c>
      <c r="G611" s="15">
        <v>88542.0</v>
      </c>
      <c r="H611" s="19">
        <f t="shared" si="1"/>
        <v>0.000515458278</v>
      </c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8">
        <v>45243.0</v>
      </c>
      <c r="B612" s="15">
        <v>8139.0</v>
      </c>
      <c r="C612" s="15">
        <v>8199.0</v>
      </c>
      <c r="D612" s="15">
        <v>8021.100098</v>
      </c>
      <c r="E612" s="15">
        <v>8086.799805</v>
      </c>
      <c r="F612" s="15">
        <v>8086.799805</v>
      </c>
      <c r="G612" s="15">
        <v>74252.0</v>
      </c>
      <c r="H612" s="19">
        <f t="shared" si="1"/>
        <v>0.003941626777</v>
      </c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8">
        <v>45245.0</v>
      </c>
      <c r="B613" s="15">
        <v>8170.899902</v>
      </c>
      <c r="C613" s="15">
        <v>8219.0</v>
      </c>
      <c r="D613" s="15">
        <v>8120.25</v>
      </c>
      <c r="E613" s="15">
        <v>8194.75</v>
      </c>
      <c r="F613" s="15">
        <v>8194.75</v>
      </c>
      <c r="G613" s="15">
        <v>94762.0</v>
      </c>
      <c r="H613" s="19">
        <f t="shared" si="1"/>
        <v>0.01334893872</v>
      </c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8">
        <v>45246.0</v>
      </c>
      <c r="B614" s="15">
        <v>8204.950195</v>
      </c>
      <c r="C614" s="15">
        <v>8497.0</v>
      </c>
      <c r="D614" s="15">
        <v>8168.0</v>
      </c>
      <c r="E614" s="15">
        <v>8459.150391</v>
      </c>
      <c r="F614" s="15">
        <v>8459.150391</v>
      </c>
      <c r="G614" s="15">
        <v>317224.0</v>
      </c>
      <c r="H614" s="19">
        <f t="shared" si="1"/>
        <v>0.03226460734</v>
      </c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8">
        <v>45247.0</v>
      </c>
      <c r="B615" s="15">
        <v>8489.549805</v>
      </c>
      <c r="C615" s="15">
        <v>8576.049805</v>
      </c>
      <c r="D615" s="15">
        <v>8271.75</v>
      </c>
      <c r="E615" s="15">
        <v>8306.599609</v>
      </c>
      <c r="F615" s="15">
        <v>8306.599609</v>
      </c>
      <c r="G615" s="15">
        <v>196640.0</v>
      </c>
      <c r="H615" s="19">
        <f t="shared" si="1"/>
        <v>-0.0180338184</v>
      </c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8">
        <v>45250.0</v>
      </c>
      <c r="B616" s="15">
        <v>8314.849609</v>
      </c>
      <c r="C616" s="15">
        <v>8399.900391</v>
      </c>
      <c r="D616" s="15">
        <v>8262.0</v>
      </c>
      <c r="E616" s="15">
        <v>8284.700195</v>
      </c>
      <c r="F616" s="15">
        <v>8284.700195</v>
      </c>
      <c r="G616" s="15">
        <v>98817.0</v>
      </c>
      <c r="H616" s="19">
        <f t="shared" si="1"/>
        <v>-0.002636387334</v>
      </c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8">
        <v>45251.0</v>
      </c>
      <c r="B617" s="15">
        <v>8325.849609</v>
      </c>
      <c r="C617" s="15">
        <v>8455.0</v>
      </c>
      <c r="D617" s="15">
        <v>8301.0</v>
      </c>
      <c r="E617" s="15">
        <v>8423.25</v>
      </c>
      <c r="F617" s="15">
        <v>8423.25</v>
      </c>
      <c r="G617" s="15">
        <v>144008.0</v>
      </c>
      <c r="H617" s="19">
        <f t="shared" si="1"/>
        <v>0.01672357499</v>
      </c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8">
        <v>45252.0</v>
      </c>
      <c r="B618" s="15">
        <v>8425.0</v>
      </c>
      <c r="C618" s="15">
        <v>8458.0</v>
      </c>
      <c r="D618" s="15">
        <v>8333.200195</v>
      </c>
      <c r="E618" s="15">
        <v>8389.700195</v>
      </c>
      <c r="F618" s="15">
        <v>8389.700195</v>
      </c>
      <c r="G618" s="15">
        <v>78752.0</v>
      </c>
      <c r="H618" s="19">
        <f t="shared" si="1"/>
        <v>-0.00398300003</v>
      </c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8">
        <v>45253.0</v>
      </c>
      <c r="B619" s="15">
        <v>8399.0</v>
      </c>
      <c r="C619" s="15">
        <v>8510.200195</v>
      </c>
      <c r="D619" s="15">
        <v>8351.0</v>
      </c>
      <c r="E619" s="15">
        <v>8380.349609</v>
      </c>
      <c r="F619" s="15">
        <v>8380.349609</v>
      </c>
      <c r="G619" s="15">
        <v>96295.0</v>
      </c>
      <c r="H619" s="19">
        <f t="shared" si="1"/>
        <v>-0.001114531602</v>
      </c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8">
        <v>45254.0</v>
      </c>
      <c r="B620" s="15">
        <v>8421.650391</v>
      </c>
      <c r="C620" s="15">
        <v>8508.0</v>
      </c>
      <c r="D620" s="15">
        <v>8310.0</v>
      </c>
      <c r="E620" s="15">
        <v>8334.549805</v>
      </c>
      <c r="F620" s="15">
        <v>8334.549805</v>
      </c>
      <c r="G620" s="15">
        <v>82775.0</v>
      </c>
      <c r="H620" s="19">
        <f t="shared" si="1"/>
        <v>-0.005465142403</v>
      </c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8">
        <v>45258.0</v>
      </c>
      <c r="B621" s="15">
        <v>8331.049805</v>
      </c>
      <c r="C621" s="15">
        <v>8479.950195</v>
      </c>
      <c r="D621" s="15">
        <v>8203.450195</v>
      </c>
      <c r="E621" s="15">
        <v>8306.200195</v>
      </c>
      <c r="F621" s="15">
        <v>8306.200195</v>
      </c>
      <c r="G621" s="15">
        <v>128466.0</v>
      </c>
      <c r="H621" s="19">
        <f t="shared" si="1"/>
        <v>-0.003401456667</v>
      </c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8">
        <v>45259.0</v>
      </c>
      <c r="B622" s="15">
        <v>8340.0</v>
      </c>
      <c r="C622" s="15">
        <v>8470.0</v>
      </c>
      <c r="D622" s="15">
        <v>8330.150391</v>
      </c>
      <c r="E622" s="15">
        <v>8388.549805</v>
      </c>
      <c r="F622" s="15">
        <v>8388.549805</v>
      </c>
      <c r="G622" s="15">
        <v>138630.0</v>
      </c>
      <c r="H622" s="19">
        <f t="shared" si="1"/>
        <v>0.009914233713</v>
      </c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8">
        <v>45260.0</v>
      </c>
      <c r="B623" s="15">
        <v>8432.099609</v>
      </c>
      <c r="C623" s="15">
        <v>8446.849609</v>
      </c>
      <c r="D623" s="15">
        <v>8207.0</v>
      </c>
      <c r="E623" s="15">
        <v>8252.799805</v>
      </c>
      <c r="F623" s="15">
        <v>8252.799805</v>
      </c>
      <c r="G623" s="15">
        <v>314893.0</v>
      </c>
      <c r="H623" s="19">
        <f t="shared" si="1"/>
        <v>-0.01618277332</v>
      </c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8">
        <v>45261.0</v>
      </c>
      <c r="B624" s="15">
        <v>8333.25</v>
      </c>
      <c r="C624" s="15">
        <v>8440.0</v>
      </c>
      <c r="D624" s="15">
        <v>8316.349609</v>
      </c>
      <c r="E624" s="15">
        <v>8423.25</v>
      </c>
      <c r="F624" s="15">
        <v>8423.25</v>
      </c>
      <c r="G624" s="15">
        <v>127176.0</v>
      </c>
      <c r="H624" s="19">
        <f t="shared" si="1"/>
        <v>0.02065362047</v>
      </c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8">
        <v>45264.0</v>
      </c>
      <c r="B625" s="15">
        <v>8499.0</v>
      </c>
      <c r="C625" s="15">
        <v>8500.0</v>
      </c>
      <c r="D625" s="15">
        <v>8335.0</v>
      </c>
      <c r="E625" s="15">
        <v>8402.799805</v>
      </c>
      <c r="F625" s="15">
        <v>8402.799805</v>
      </c>
      <c r="G625" s="15">
        <v>106243.0</v>
      </c>
      <c r="H625" s="19">
        <f t="shared" si="1"/>
        <v>-0.002427827145</v>
      </c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8">
        <v>45265.0</v>
      </c>
      <c r="B626" s="15">
        <v>8402.049805</v>
      </c>
      <c r="C626" s="15">
        <v>8443.349609</v>
      </c>
      <c r="D626" s="15">
        <v>8360.0</v>
      </c>
      <c r="E626" s="15">
        <v>8392.099609</v>
      </c>
      <c r="F626" s="15">
        <v>8392.099609</v>
      </c>
      <c r="G626" s="15">
        <v>81006.0</v>
      </c>
      <c r="H626" s="19">
        <f t="shared" si="1"/>
        <v>-0.001273408417</v>
      </c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8">
        <v>45266.0</v>
      </c>
      <c r="B627" s="15">
        <v>8431.049805</v>
      </c>
      <c r="C627" s="15">
        <v>8499.0</v>
      </c>
      <c r="D627" s="15">
        <v>8380.0</v>
      </c>
      <c r="E627" s="15">
        <v>8454.549805</v>
      </c>
      <c r="F627" s="15">
        <v>8454.549805</v>
      </c>
      <c r="G627" s="15">
        <v>137436.0</v>
      </c>
      <c r="H627" s="19">
        <f t="shared" si="1"/>
        <v>0.007441546086</v>
      </c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8">
        <v>45267.0</v>
      </c>
      <c r="B628" s="15">
        <v>8469.0</v>
      </c>
      <c r="C628" s="15">
        <v>8469.0</v>
      </c>
      <c r="D628" s="15">
        <v>8350.0</v>
      </c>
      <c r="E628" s="15">
        <v>8365.450195</v>
      </c>
      <c r="F628" s="15">
        <v>8365.450195</v>
      </c>
      <c r="G628" s="15">
        <v>68049.0</v>
      </c>
      <c r="H628" s="19">
        <f t="shared" si="1"/>
        <v>-0.01053865813</v>
      </c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8">
        <v>45268.0</v>
      </c>
      <c r="B629" s="15">
        <v>8370.049805</v>
      </c>
      <c r="C629" s="15">
        <v>8409.75</v>
      </c>
      <c r="D629" s="15">
        <v>8300.0</v>
      </c>
      <c r="E629" s="15">
        <v>8365.849609</v>
      </c>
      <c r="F629" s="15">
        <v>8365.849609</v>
      </c>
      <c r="G629" s="15">
        <v>81159.0</v>
      </c>
      <c r="H629" s="19">
        <f t="shared" si="1"/>
        <v>0.00004774566708</v>
      </c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8">
        <v>45271.0</v>
      </c>
      <c r="B630" s="15">
        <v>8401.700195</v>
      </c>
      <c r="C630" s="15">
        <v>8460.0</v>
      </c>
      <c r="D630" s="15">
        <v>8400.0</v>
      </c>
      <c r="E630" s="15">
        <v>8446.25</v>
      </c>
      <c r="F630" s="15">
        <v>8446.25</v>
      </c>
      <c r="G630" s="15">
        <v>81052.0</v>
      </c>
      <c r="H630" s="19">
        <f t="shared" si="1"/>
        <v>0.009610547016</v>
      </c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8">
        <v>45272.0</v>
      </c>
      <c r="B631" s="15">
        <v>8450.900391</v>
      </c>
      <c r="C631" s="15">
        <v>8994.700195</v>
      </c>
      <c r="D631" s="15">
        <v>8450.900391</v>
      </c>
      <c r="E631" s="15">
        <v>8901.900391</v>
      </c>
      <c r="F631" s="15">
        <v>8901.900391</v>
      </c>
      <c r="G631" s="15">
        <v>957240.0</v>
      </c>
      <c r="H631" s="19">
        <f t="shared" si="1"/>
        <v>0.0539470642</v>
      </c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8">
        <v>45273.0</v>
      </c>
      <c r="B632" s="15">
        <v>8892.25</v>
      </c>
      <c r="C632" s="15">
        <v>8940.0</v>
      </c>
      <c r="D632" s="15">
        <v>8714.349609</v>
      </c>
      <c r="E632" s="15">
        <v>8858.75</v>
      </c>
      <c r="F632" s="15">
        <v>8858.75</v>
      </c>
      <c r="G632" s="15">
        <v>189094.0</v>
      </c>
      <c r="H632" s="19">
        <f t="shared" si="1"/>
        <v>-0.004847323504</v>
      </c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8">
        <v>45274.0</v>
      </c>
      <c r="B633" s="15">
        <v>8949.900391</v>
      </c>
      <c r="C633" s="15">
        <v>9183.25</v>
      </c>
      <c r="D633" s="15">
        <v>8920.0</v>
      </c>
      <c r="E633" s="15">
        <v>8985.650391</v>
      </c>
      <c r="F633" s="15">
        <v>8985.650391</v>
      </c>
      <c r="G633" s="15">
        <v>376386.0</v>
      </c>
      <c r="H633" s="19">
        <f t="shared" si="1"/>
        <v>0.01432486423</v>
      </c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8">
        <v>45275.0</v>
      </c>
      <c r="B634" s="15">
        <v>8985.049805</v>
      </c>
      <c r="C634" s="15">
        <v>9145.5</v>
      </c>
      <c r="D634" s="15">
        <v>8960.950195</v>
      </c>
      <c r="E634" s="15">
        <v>9053.599609</v>
      </c>
      <c r="F634" s="15">
        <v>9053.599609</v>
      </c>
      <c r="G634" s="15">
        <v>227532.0</v>
      </c>
      <c r="H634" s="19">
        <f t="shared" si="1"/>
        <v>0.007561969924</v>
      </c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8">
        <v>45278.0</v>
      </c>
      <c r="B635" s="15">
        <v>9060.049805</v>
      </c>
      <c r="C635" s="15">
        <v>9200.0</v>
      </c>
      <c r="D635" s="15">
        <v>9001.25</v>
      </c>
      <c r="E635" s="15">
        <v>9087.349609</v>
      </c>
      <c r="F635" s="15">
        <v>9087.349609</v>
      </c>
      <c r="G635" s="15">
        <v>136439.0</v>
      </c>
      <c r="H635" s="19">
        <f t="shared" si="1"/>
        <v>0.003727799048</v>
      </c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8">
        <v>45279.0</v>
      </c>
      <c r="B636" s="15">
        <v>9099.0</v>
      </c>
      <c r="C636" s="15">
        <v>9140.0</v>
      </c>
      <c r="D636" s="15">
        <v>8870.0</v>
      </c>
      <c r="E636" s="15">
        <v>8900.75</v>
      </c>
      <c r="F636" s="15">
        <v>8900.75</v>
      </c>
      <c r="G636" s="15">
        <v>145418.0</v>
      </c>
      <c r="H636" s="19">
        <f t="shared" si="1"/>
        <v>-0.02053399693</v>
      </c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8">
        <v>45280.0</v>
      </c>
      <c r="B637" s="15">
        <v>8935.0</v>
      </c>
      <c r="C637" s="15">
        <v>9029.0</v>
      </c>
      <c r="D637" s="15">
        <v>8500.0</v>
      </c>
      <c r="E637" s="15">
        <v>8608.349609</v>
      </c>
      <c r="F637" s="15">
        <v>8608.349609</v>
      </c>
      <c r="G637" s="15">
        <v>140635.0</v>
      </c>
      <c r="H637" s="19">
        <f t="shared" si="1"/>
        <v>-0.03285120816</v>
      </c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8">
        <v>45281.0</v>
      </c>
      <c r="B638" s="15">
        <v>8520.0</v>
      </c>
      <c r="C638" s="15">
        <v>8800.0</v>
      </c>
      <c r="D638" s="15">
        <v>8408.349609</v>
      </c>
      <c r="E638" s="15">
        <v>8770.450195</v>
      </c>
      <c r="F638" s="15">
        <v>8770.450195</v>
      </c>
      <c r="G638" s="15">
        <v>169773.0</v>
      </c>
      <c r="H638" s="19">
        <f t="shared" si="1"/>
        <v>0.01883062298</v>
      </c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8">
        <v>45282.0</v>
      </c>
      <c r="B639" s="15">
        <v>8770.450195</v>
      </c>
      <c r="C639" s="15">
        <v>8899.950195</v>
      </c>
      <c r="D639" s="15">
        <v>8770.400391</v>
      </c>
      <c r="E639" s="15">
        <v>8870.650391</v>
      </c>
      <c r="F639" s="15">
        <v>8870.650391</v>
      </c>
      <c r="G639" s="15">
        <v>94150.0</v>
      </c>
      <c r="H639" s="19">
        <f t="shared" si="1"/>
        <v>0.01142474945</v>
      </c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8">
        <v>45286.0</v>
      </c>
      <c r="B640" s="15">
        <v>8914.0</v>
      </c>
      <c r="C640" s="15">
        <v>8930.0</v>
      </c>
      <c r="D640" s="15">
        <v>8824.0</v>
      </c>
      <c r="E640" s="15">
        <v>8860.299805</v>
      </c>
      <c r="F640" s="15">
        <v>8860.299805</v>
      </c>
      <c r="G640" s="15">
        <v>59102.0</v>
      </c>
      <c r="H640" s="19">
        <f t="shared" si="1"/>
        <v>-0.001166835073</v>
      </c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8">
        <v>45287.0</v>
      </c>
      <c r="B641" s="15">
        <v>8897.0</v>
      </c>
      <c r="C641" s="15">
        <v>8925.549805</v>
      </c>
      <c r="D641" s="15">
        <v>8781.0</v>
      </c>
      <c r="E641" s="15">
        <v>8801.5</v>
      </c>
      <c r="F641" s="15">
        <v>8801.5</v>
      </c>
      <c r="G641" s="15">
        <v>58680.0</v>
      </c>
      <c r="H641" s="19">
        <f t="shared" si="1"/>
        <v>-0.00663632228</v>
      </c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8">
        <v>45288.0</v>
      </c>
      <c r="B642" s="15">
        <v>8850.0</v>
      </c>
      <c r="C642" s="15">
        <v>8855.0</v>
      </c>
      <c r="D642" s="15">
        <v>8742.0</v>
      </c>
      <c r="E642" s="15">
        <v>8757.950195</v>
      </c>
      <c r="F642" s="15">
        <v>8757.950195</v>
      </c>
      <c r="G642" s="15">
        <v>52729.0</v>
      </c>
      <c r="H642" s="19">
        <f t="shared" si="1"/>
        <v>-0.004947998069</v>
      </c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8">
        <v>45289.0</v>
      </c>
      <c r="B643" s="15">
        <v>8799.150391</v>
      </c>
      <c r="C643" s="15">
        <v>8799.150391</v>
      </c>
      <c r="D643" s="15">
        <v>8701.5</v>
      </c>
      <c r="E643" s="15">
        <v>8753.450195</v>
      </c>
      <c r="F643" s="15">
        <v>8753.450195</v>
      </c>
      <c r="G643" s="15">
        <v>67924.0</v>
      </c>
      <c r="H643" s="19">
        <f t="shared" si="1"/>
        <v>-0.0005138188617</v>
      </c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8">
        <v>45292.0</v>
      </c>
      <c r="B644" s="15">
        <v>8793.0</v>
      </c>
      <c r="C644" s="15">
        <v>8793.0</v>
      </c>
      <c r="D644" s="15">
        <v>8710.0</v>
      </c>
      <c r="E644" s="15">
        <v>8744.200195</v>
      </c>
      <c r="F644" s="15">
        <v>8744.200195</v>
      </c>
      <c r="G644" s="15">
        <v>34849.0</v>
      </c>
      <c r="H644" s="19">
        <f t="shared" si="1"/>
        <v>-0.001056726182</v>
      </c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8">
        <v>45293.0</v>
      </c>
      <c r="B645" s="15">
        <v>8740.0</v>
      </c>
      <c r="C645" s="15">
        <v>8784.599609</v>
      </c>
      <c r="D645" s="15">
        <v>8609.0</v>
      </c>
      <c r="E645" s="15">
        <v>8711.450195</v>
      </c>
      <c r="F645" s="15">
        <v>8711.450195</v>
      </c>
      <c r="G645" s="15">
        <v>47188.0</v>
      </c>
      <c r="H645" s="19">
        <f t="shared" si="1"/>
        <v>-0.003745339685</v>
      </c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8">
        <v>45294.0</v>
      </c>
      <c r="B646" s="15">
        <v>8722.950195</v>
      </c>
      <c r="C646" s="15">
        <v>8728.799805</v>
      </c>
      <c r="D646" s="15">
        <v>8600.0</v>
      </c>
      <c r="E646" s="15">
        <v>8607.549805</v>
      </c>
      <c r="F646" s="15">
        <v>8607.549805</v>
      </c>
      <c r="G646" s="15">
        <v>53427.0</v>
      </c>
      <c r="H646" s="19">
        <f t="shared" si="1"/>
        <v>-0.01192687643</v>
      </c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8">
        <v>45295.0</v>
      </c>
      <c r="B647" s="15">
        <v>8607.549805</v>
      </c>
      <c r="C647" s="15">
        <v>8698.0</v>
      </c>
      <c r="D647" s="15">
        <v>8607.549805</v>
      </c>
      <c r="E647" s="15">
        <v>8639.650391</v>
      </c>
      <c r="F647" s="15">
        <v>8639.650391</v>
      </c>
      <c r="G647" s="15">
        <v>51866.0</v>
      </c>
      <c r="H647" s="19">
        <f t="shared" si="1"/>
        <v>0.003729352339</v>
      </c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8">
        <v>45296.0</v>
      </c>
      <c r="B648" s="15">
        <v>8677.950195</v>
      </c>
      <c r="C648" s="15">
        <v>8718.950195</v>
      </c>
      <c r="D648" s="15">
        <v>8575.099609</v>
      </c>
      <c r="E648" s="15">
        <v>8645.849609</v>
      </c>
      <c r="F648" s="15">
        <v>8645.849609</v>
      </c>
      <c r="G648" s="15">
        <v>48283.0</v>
      </c>
      <c r="H648" s="19">
        <f t="shared" si="1"/>
        <v>0.0007175311175</v>
      </c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8">
        <v>45299.0</v>
      </c>
      <c r="B649" s="15">
        <v>8647.700195</v>
      </c>
      <c r="C649" s="15">
        <v>8695.0</v>
      </c>
      <c r="D649" s="15">
        <v>8565.099609</v>
      </c>
      <c r="E649" s="15">
        <v>8584.150391</v>
      </c>
      <c r="F649" s="15">
        <v>8584.150391</v>
      </c>
      <c r="G649" s="15">
        <v>43107.0</v>
      </c>
      <c r="H649" s="19">
        <f t="shared" si="1"/>
        <v>-0.00713628166</v>
      </c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8">
        <v>45300.0</v>
      </c>
      <c r="B650" s="15">
        <v>8650.0</v>
      </c>
      <c r="C650" s="15">
        <v>8744.400391</v>
      </c>
      <c r="D650" s="15">
        <v>8610.0</v>
      </c>
      <c r="E650" s="15">
        <v>8643.599609</v>
      </c>
      <c r="F650" s="15">
        <v>8643.599609</v>
      </c>
      <c r="G650" s="15">
        <v>75444.0</v>
      </c>
      <c r="H650" s="19">
        <f t="shared" si="1"/>
        <v>0.006925463242</v>
      </c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8">
        <v>45301.0</v>
      </c>
      <c r="B651" s="15">
        <v>8679.0</v>
      </c>
      <c r="C651" s="15">
        <v>8800.0</v>
      </c>
      <c r="D651" s="15">
        <v>8602.299805</v>
      </c>
      <c r="E651" s="15">
        <v>8755.450195</v>
      </c>
      <c r="F651" s="15">
        <v>8755.450195</v>
      </c>
      <c r="G651" s="15">
        <v>63726.0</v>
      </c>
      <c r="H651" s="19">
        <f t="shared" si="1"/>
        <v>0.01294027848</v>
      </c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8">
        <v>45302.0</v>
      </c>
      <c r="B652" s="15">
        <v>8800.0</v>
      </c>
      <c r="C652" s="15">
        <v>8868.650391</v>
      </c>
      <c r="D652" s="15">
        <v>8700.0</v>
      </c>
      <c r="E652" s="15">
        <v>8720.799805</v>
      </c>
      <c r="F652" s="15">
        <v>8720.799805</v>
      </c>
      <c r="G652" s="15">
        <v>79837.0</v>
      </c>
      <c r="H652" s="19">
        <f t="shared" si="1"/>
        <v>-0.003957579477</v>
      </c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8">
        <v>45303.0</v>
      </c>
      <c r="B653" s="15">
        <v>8799.900391</v>
      </c>
      <c r="C653" s="15">
        <v>8949.0</v>
      </c>
      <c r="D653" s="15">
        <v>8712.150391</v>
      </c>
      <c r="E653" s="15">
        <v>8737.25</v>
      </c>
      <c r="F653" s="15">
        <v>8737.25</v>
      </c>
      <c r="G653" s="15">
        <v>156840.0</v>
      </c>
      <c r="H653" s="19">
        <f t="shared" si="1"/>
        <v>0.001886317238</v>
      </c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8">
        <v>45306.0</v>
      </c>
      <c r="B654" s="15">
        <v>8797.450195</v>
      </c>
      <c r="C654" s="15">
        <v>8819.900391</v>
      </c>
      <c r="D654" s="15">
        <v>8677.25</v>
      </c>
      <c r="E654" s="15">
        <v>8716.650391</v>
      </c>
      <c r="F654" s="15">
        <v>8716.650391</v>
      </c>
      <c r="G654" s="15">
        <v>75064.0</v>
      </c>
      <c r="H654" s="19">
        <f t="shared" si="1"/>
        <v>-0.0023576765</v>
      </c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8">
        <v>45307.0</v>
      </c>
      <c r="B655" s="15">
        <v>8719.900391</v>
      </c>
      <c r="C655" s="15">
        <v>8730.799805</v>
      </c>
      <c r="D655" s="15">
        <v>8580.299805</v>
      </c>
      <c r="E655" s="15">
        <v>8604.549805</v>
      </c>
      <c r="F655" s="15">
        <v>8604.549805</v>
      </c>
      <c r="G655" s="15">
        <v>61082.0</v>
      </c>
      <c r="H655" s="19">
        <f t="shared" si="1"/>
        <v>-0.01286051189</v>
      </c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8">
        <v>45308.0</v>
      </c>
      <c r="B656" s="15">
        <v>8599.0</v>
      </c>
      <c r="C656" s="15">
        <v>8640.0</v>
      </c>
      <c r="D656" s="15">
        <v>8511.0</v>
      </c>
      <c r="E656" s="15">
        <v>8597.799805</v>
      </c>
      <c r="F656" s="15">
        <v>8597.799805</v>
      </c>
      <c r="G656" s="15">
        <v>73451.0</v>
      </c>
      <c r="H656" s="19">
        <f t="shared" si="1"/>
        <v>-0.0007844687</v>
      </c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8">
        <v>45309.0</v>
      </c>
      <c r="B657" s="15">
        <v>8550.0</v>
      </c>
      <c r="C657" s="15">
        <v>8579.950195</v>
      </c>
      <c r="D657" s="15">
        <v>8033.600098</v>
      </c>
      <c r="E657" s="15">
        <v>8310.700195</v>
      </c>
      <c r="F657" s="15">
        <v>8310.700195</v>
      </c>
      <c r="G657" s="15">
        <v>306055.0</v>
      </c>
      <c r="H657" s="19">
        <f t="shared" si="1"/>
        <v>-0.03339221853</v>
      </c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8">
        <v>45310.0</v>
      </c>
      <c r="B658" s="15">
        <v>8409.0</v>
      </c>
      <c r="C658" s="15">
        <v>8610.700195</v>
      </c>
      <c r="D658" s="15">
        <v>8231.849609</v>
      </c>
      <c r="E658" s="15">
        <v>8307.299805</v>
      </c>
      <c r="F658" s="15">
        <v>8307.299805</v>
      </c>
      <c r="G658" s="15">
        <v>97841.0</v>
      </c>
      <c r="H658" s="19">
        <f t="shared" si="1"/>
        <v>-0.0004091580637</v>
      </c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8">
        <v>45314.0</v>
      </c>
      <c r="B659" s="15">
        <v>8300.0</v>
      </c>
      <c r="C659" s="15">
        <v>8358.0</v>
      </c>
      <c r="D659" s="15">
        <v>8075.450195</v>
      </c>
      <c r="E659" s="15">
        <v>8195.700195</v>
      </c>
      <c r="F659" s="15">
        <v>8195.700195</v>
      </c>
      <c r="G659" s="15">
        <v>117490.0</v>
      </c>
      <c r="H659" s="19">
        <f t="shared" si="1"/>
        <v>-0.01343392108</v>
      </c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8">
        <v>45315.0</v>
      </c>
      <c r="B660" s="15">
        <v>8000.0</v>
      </c>
      <c r="C660" s="15">
        <v>8150.0</v>
      </c>
      <c r="D660" s="15">
        <v>7744.100098</v>
      </c>
      <c r="E660" s="15">
        <v>7768.450195</v>
      </c>
      <c r="F660" s="15">
        <v>7768.450195</v>
      </c>
      <c r="G660" s="15">
        <v>400343.0</v>
      </c>
      <c r="H660" s="19">
        <f t="shared" si="1"/>
        <v>-0.05213099428</v>
      </c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8">
        <v>45316.0</v>
      </c>
      <c r="B661" s="15">
        <v>7952.450195</v>
      </c>
      <c r="C661" s="15">
        <v>7952.450195</v>
      </c>
      <c r="D661" s="15">
        <v>7640.0</v>
      </c>
      <c r="E661" s="15">
        <v>7667.149902</v>
      </c>
      <c r="F661" s="15">
        <v>7667.149902</v>
      </c>
      <c r="G661" s="15">
        <v>184113.0</v>
      </c>
      <c r="H661" s="19">
        <f t="shared" si="1"/>
        <v>-0.0130399617</v>
      </c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8">
        <v>45320.0</v>
      </c>
      <c r="B662" s="15">
        <v>7677.0</v>
      </c>
      <c r="C662" s="15">
        <v>7744.649902</v>
      </c>
      <c r="D662" s="15">
        <v>7650.049805</v>
      </c>
      <c r="E662" s="15">
        <v>7694.0</v>
      </c>
      <c r="F662" s="15">
        <v>7694.0</v>
      </c>
      <c r="G662" s="15">
        <v>100972.0</v>
      </c>
      <c r="H662" s="19">
        <f t="shared" si="1"/>
        <v>0.003501965964</v>
      </c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8">
        <v>45321.0</v>
      </c>
      <c r="B663" s="15">
        <v>7721.0</v>
      </c>
      <c r="C663" s="15">
        <v>7770.850098</v>
      </c>
      <c r="D663" s="15">
        <v>7564.200195</v>
      </c>
      <c r="E663" s="15">
        <v>7594.799805</v>
      </c>
      <c r="F663" s="15">
        <v>7594.799805</v>
      </c>
      <c r="G663" s="15">
        <v>135861.0</v>
      </c>
      <c r="H663" s="19">
        <f t="shared" si="1"/>
        <v>-0.01289318885</v>
      </c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8">
        <v>45322.0</v>
      </c>
      <c r="B664" s="15">
        <v>7600.0</v>
      </c>
      <c r="C664" s="15">
        <v>7657.100098</v>
      </c>
      <c r="D664" s="15">
        <v>7572.049805</v>
      </c>
      <c r="E664" s="15">
        <v>7605.149902</v>
      </c>
      <c r="F664" s="15">
        <v>7605.149902</v>
      </c>
      <c r="G664" s="15">
        <v>141141.0</v>
      </c>
      <c r="H664" s="19">
        <f t="shared" si="1"/>
        <v>0.001362787337</v>
      </c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8">
        <v>45323.0</v>
      </c>
      <c r="B665" s="15">
        <v>7610.0</v>
      </c>
      <c r="C665" s="15">
        <v>7700.0</v>
      </c>
      <c r="D665" s="15">
        <v>7600.0</v>
      </c>
      <c r="E665" s="15">
        <v>7640.899902</v>
      </c>
      <c r="F665" s="15">
        <v>7640.899902</v>
      </c>
      <c r="G665" s="15">
        <v>81838.0</v>
      </c>
      <c r="H665" s="19">
        <f t="shared" si="1"/>
        <v>0.004700762044</v>
      </c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8">
        <v>45324.0</v>
      </c>
      <c r="B666" s="15">
        <v>7695.0</v>
      </c>
      <c r="C666" s="15">
        <v>7770.0</v>
      </c>
      <c r="D666" s="15">
        <v>7601.0</v>
      </c>
      <c r="E666" s="15">
        <v>7641.0</v>
      </c>
      <c r="F666" s="15">
        <v>7641.0</v>
      </c>
      <c r="G666" s="15">
        <v>102021.0</v>
      </c>
      <c r="H666" s="19">
        <f t="shared" si="1"/>
        <v>0.0000131002894</v>
      </c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8">
        <v>45327.0</v>
      </c>
      <c r="B667" s="15">
        <v>7641.049805</v>
      </c>
      <c r="C667" s="15">
        <v>7739.0</v>
      </c>
      <c r="D667" s="15">
        <v>7583.299805</v>
      </c>
      <c r="E667" s="15">
        <v>7601.0</v>
      </c>
      <c r="F667" s="15">
        <v>7601.0</v>
      </c>
      <c r="G667" s="15">
        <v>82526.0</v>
      </c>
      <c r="H667" s="19">
        <f t="shared" si="1"/>
        <v>-0.005234916896</v>
      </c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8">
        <v>45328.0</v>
      </c>
      <c r="B668" s="15">
        <v>7697.950195</v>
      </c>
      <c r="C668" s="15">
        <v>7787.950195</v>
      </c>
      <c r="D668" s="15">
        <v>7643.75</v>
      </c>
      <c r="E668" s="15">
        <v>7721.799805</v>
      </c>
      <c r="F668" s="15">
        <v>7721.799805</v>
      </c>
      <c r="G668" s="15">
        <v>154874.0</v>
      </c>
      <c r="H668" s="19">
        <f t="shared" si="1"/>
        <v>0.01589262005</v>
      </c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8">
        <v>45329.0</v>
      </c>
      <c r="B669" s="15">
        <v>7800.0</v>
      </c>
      <c r="C669" s="15">
        <v>7850.149902</v>
      </c>
      <c r="D669" s="15">
        <v>7760.600098</v>
      </c>
      <c r="E669" s="15">
        <v>7790.149902</v>
      </c>
      <c r="F669" s="15">
        <v>7790.149902</v>
      </c>
      <c r="G669" s="15">
        <v>76592.0</v>
      </c>
      <c r="H669" s="19">
        <f t="shared" si="1"/>
        <v>0.008851575892</v>
      </c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8">
        <v>45330.0</v>
      </c>
      <c r="B670" s="15">
        <v>7848.0</v>
      </c>
      <c r="C670" s="15">
        <v>7848.0</v>
      </c>
      <c r="D670" s="15">
        <v>7667.049805</v>
      </c>
      <c r="E670" s="15">
        <v>7726.399902</v>
      </c>
      <c r="F670" s="15">
        <v>7726.399902</v>
      </c>
      <c r="G670" s="15">
        <v>70163.0</v>
      </c>
      <c r="H670" s="19">
        <f t="shared" si="1"/>
        <v>-0.008183411205</v>
      </c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8">
        <v>45331.0</v>
      </c>
      <c r="B671" s="15">
        <v>7734.950195</v>
      </c>
      <c r="C671" s="15">
        <v>7758.950195</v>
      </c>
      <c r="D671" s="15">
        <v>7521.0</v>
      </c>
      <c r="E671" s="15">
        <v>7629.350098</v>
      </c>
      <c r="F671" s="15">
        <v>7629.350098</v>
      </c>
      <c r="G671" s="15">
        <v>111039.0</v>
      </c>
      <c r="H671" s="19">
        <f t="shared" si="1"/>
        <v>-0.01256080519</v>
      </c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8">
        <v>45334.0</v>
      </c>
      <c r="B672" s="15">
        <v>7720.950195</v>
      </c>
      <c r="C672" s="15">
        <v>7740.0</v>
      </c>
      <c r="D672" s="15">
        <v>7475.0</v>
      </c>
      <c r="E672" s="15">
        <v>7498.600098</v>
      </c>
      <c r="F672" s="15">
        <v>7498.600098</v>
      </c>
      <c r="G672" s="15">
        <v>97038.0</v>
      </c>
      <c r="H672" s="19">
        <f t="shared" si="1"/>
        <v>-0.01713776381</v>
      </c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8">
        <v>45335.0</v>
      </c>
      <c r="B673" s="15">
        <v>7539.950195</v>
      </c>
      <c r="C673" s="15">
        <v>7541.149902</v>
      </c>
      <c r="D673" s="15">
        <v>7379.049805</v>
      </c>
      <c r="E673" s="15">
        <v>7443.299805</v>
      </c>
      <c r="F673" s="15">
        <v>7443.299805</v>
      </c>
      <c r="G673" s="15">
        <v>73951.0</v>
      </c>
      <c r="H673" s="19">
        <f t="shared" si="1"/>
        <v>-0.007374748923</v>
      </c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8">
        <v>45336.0</v>
      </c>
      <c r="B674" s="15">
        <v>7440.0</v>
      </c>
      <c r="C674" s="15">
        <v>7449.899902</v>
      </c>
      <c r="D674" s="15">
        <v>7350.0</v>
      </c>
      <c r="E674" s="15">
        <v>7429.549805</v>
      </c>
      <c r="F674" s="15">
        <v>7429.549805</v>
      </c>
      <c r="G674" s="15">
        <v>104915.0</v>
      </c>
      <c r="H674" s="19">
        <f t="shared" si="1"/>
        <v>-0.001847298962</v>
      </c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8">
        <v>45337.0</v>
      </c>
      <c r="B675" s="15">
        <v>7499.950195</v>
      </c>
      <c r="C675" s="15">
        <v>7540.0</v>
      </c>
      <c r="D675" s="15">
        <v>7450.0</v>
      </c>
      <c r="E675" s="15">
        <v>7470.200195</v>
      </c>
      <c r="F675" s="15">
        <v>7470.200195</v>
      </c>
      <c r="G675" s="15">
        <v>61560.0</v>
      </c>
      <c r="H675" s="19">
        <f t="shared" si="1"/>
        <v>0.00547144727</v>
      </c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8">
        <v>45338.0</v>
      </c>
      <c r="B676" s="15">
        <v>7518.0</v>
      </c>
      <c r="C676" s="15">
        <v>7539.899902</v>
      </c>
      <c r="D676" s="15">
        <v>7475.200195</v>
      </c>
      <c r="E676" s="15">
        <v>7513.450195</v>
      </c>
      <c r="F676" s="15">
        <v>7513.450195</v>
      </c>
      <c r="G676" s="15">
        <v>80901.0</v>
      </c>
      <c r="H676" s="19">
        <f t="shared" si="1"/>
        <v>0.005789670808</v>
      </c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8">
        <v>45341.0</v>
      </c>
      <c r="B677" s="15">
        <v>7560.0</v>
      </c>
      <c r="C677" s="15">
        <v>7744.700195</v>
      </c>
      <c r="D677" s="15">
        <v>7550.149902</v>
      </c>
      <c r="E677" s="15">
        <v>7708.649902</v>
      </c>
      <c r="F677" s="15">
        <v>7708.649902</v>
      </c>
      <c r="G677" s="15">
        <v>146755.0</v>
      </c>
      <c r="H677" s="19">
        <f t="shared" si="1"/>
        <v>0.02598003606</v>
      </c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8">
        <v>45342.0</v>
      </c>
      <c r="B678" s="15">
        <v>7755.0</v>
      </c>
      <c r="C678" s="15">
        <v>7838.149902</v>
      </c>
      <c r="D678" s="15">
        <v>7610.0</v>
      </c>
      <c r="E678" s="15">
        <v>7776.299805</v>
      </c>
      <c r="F678" s="15">
        <v>7776.299805</v>
      </c>
      <c r="G678" s="15">
        <v>191041.0</v>
      </c>
      <c r="H678" s="19">
        <f t="shared" si="1"/>
        <v>0.008775843223</v>
      </c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8">
        <v>45343.0</v>
      </c>
      <c r="B679" s="15">
        <v>7846.25</v>
      </c>
      <c r="C679" s="15">
        <v>7849.0</v>
      </c>
      <c r="D679" s="15">
        <v>7712.049805</v>
      </c>
      <c r="E679" s="15">
        <v>7746.200195</v>
      </c>
      <c r="F679" s="15">
        <v>7746.200195</v>
      </c>
      <c r="G679" s="15">
        <v>107925.0</v>
      </c>
      <c r="H679" s="19">
        <f t="shared" si="1"/>
        <v>-0.003870685384</v>
      </c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8">
        <v>45344.0</v>
      </c>
      <c r="B680" s="15">
        <v>7806.0</v>
      </c>
      <c r="C680" s="15">
        <v>7807.0</v>
      </c>
      <c r="D680" s="15">
        <v>7746.75</v>
      </c>
      <c r="E680" s="15">
        <v>7791.049805</v>
      </c>
      <c r="F680" s="15">
        <v>7791.049805</v>
      </c>
      <c r="G680" s="15">
        <v>83690.0</v>
      </c>
      <c r="H680" s="19">
        <f t="shared" si="1"/>
        <v>0.005789885217</v>
      </c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8">
        <v>45345.0</v>
      </c>
      <c r="B681" s="15">
        <v>7900.049805</v>
      </c>
      <c r="C681" s="15">
        <v>7995.0</v>
      </c>
      <c r="D681" s="15">
        <v>7750.0</v>
      </c>
      <c r="E681" s="15">
        <v>7812.299805</v>
      </c>
      <c r="F681" s="15">
        <v>7812.299805</v>
      </c>
      <c r="G681" s="15">
        <v>172141.0</v>
      </c>
      <c r="H681" s="19">
        <f t="shared" si="1"/>
        <v>0.002727488661</v>
      </c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8">
        <v>45348.0</v>
      </c>
      <c r="B682" s="15">
        <v>7853.0</v>
      </c>
      <c r="C682" s="15">
        <v>7859.799805</v>
      </c>
      <c r="D682" s="15">
        <v>7685.0</v>
      </c>
      <c r="E682" s="15">
        <v>7706.899902</v>
      </c>
      <c r="F682" s="15">
        <v>7706.899902</v>
      </c>
      <c r="G682" s="15">
        <v>69244.0</v>
      </c>
      <c r="H682" s="19">
        <f t="shared" si="1"/>
        <v>-0.0134915333</v>
      </c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8">
        <v>45349.0</v>
      </c>
      <c r="B683" s="15">
        <v>7715.0</v>
      </c>
      <c r="C683" s="15">
        <v>7744.399902</v>
      </c>
      <c r="D683" s="15">
        <v>7605.0</v>
      </c>
      <c r="E683" s="15">
        <v>7640.600098</v>
      </c>
      <c r="F683" s="15">
        <v>7640.600098</v>
      </c>
      <c r="G683" s="15">
        <v>92008.0</v>
      </c>
      <c r="H683" s="19">
        <f t="shared" si="1"/>
        <v>-0.008602655392</v>
      </c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8">
        <v>45350.0</v>
      </c>
      <c r="B684" s="15">
        <v>7695.0</v>
      </c>
      <c r="C684" s="15">
        <v>7716.450195</v>
      </c>
      <c r="D684" s="15">
        <v>7562.0</v>
      </c>
      <c r="E684" s="15">
        <v>7593.649902</v>
      </c>
      <c r="F684" s="15">
        <v>7593.649902</v>
      </c>
      <c r="G684" s="15">
        <v>72324.0</v>
      </c>
      <c r="H684" s="19">
        <f t="shared" si="1"/>
        <v>-0.006144830955</v>
      </c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8">
        <v>45351.0</v>
      </c>
      <c r="B685" s="15">
        <v>7580.0</v>
      </c>
      <c r="C685" s="15">
        <v>7950.0</v>
      </c>
      <c r="D685" s="15">
        <v>7440.0</v>
      </c>
      <c r="E685" s="15">
        <v>7811.049805</v>
      </c>
      <c r="F685" s="15">
        <v>7811.049805</v>
      </c>
      <c r="G685" s="15">
        <v>307875.0</v>
      </c>
      <c r="H685" s="19">
        <f t="shared" si="1"/>
        <v>0.02862917119</v>
      </c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8">
        <v>45352.0</v>
      </c>
      <c r="B686" s="15">
        <v>7900.0</v>
      </c>
      <c r="C686" s="15">
        <v>7993.200195</v>
      </c>
      <c r="D686" s="15">
        <v>7720.0</v>
      </c>
      <c r="E686" s="15">
        <v>7745.25</v>
      </c>
      <c r="F686" s="15">
        <v>7745.25</v>
      </c>
      <c r="G686" s="15">
        <v>217687.0</v>
      </c>
      <c r="H686" s="19">
        <f t="shared" si="1"/>
        <v>-0.008423938733</v>
      </c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8">
        <v>45355.0</v>
      </c>
      <c r="B687" s="15">
        <v>7819.0</v>
      </c>
      <c r="C687" s="15">
        <v>7839.799805</v>
      </c>
      <c r="D687" s="15">
        <v>7658.850098</v>
      </c>
      <c r="E687" s="15">
        <v>7692.899902</v>
      </c>
      <c r="F687" s="15">
        <v>7692.899902</v>
      </c>
      <c r="G687" s="15">
        <v>101325.0</v>
      </c>
      <c r="H687" s="19">
        <f t="shared" si="1"/>
        <v>-0.006758993964</v>
      </c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8">
        <v>45356.0</v>
      </c>
      <c r="B688" s="15">
        <v>7692.899902</v>
      </c>
      <c r="C688" s="15">
        <v>7732.950195</v>
      </c>
      <c r="D688" s="15">
        <v>7601.049805</v>
      </c>
      <c r="E688" s="15">
        <v>7662.450195</v>
      </c>
      <c r="F688" s="15">
        <v>7662.450195</v>
      </c>
      <c r="G688" s="15">
        <v>107340.0</v>
      </c>
      <c r="H688" s="19">
        <f t="shared" si="1"/>
        <v>-0.003958157182</v>
      </c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8">
        <v>45357.0</v>
      </c>
      <c r="B689" s="15">
        <v>7710.0</v>
      </c>
      <c r="C689" s="15">
        <v>7723.899902</v>
      </c>
      <c r="D689" s="15">
        <v>7540.100098</v>
      </c>
      <c r="E689" s="15">
        <v>7602.299805</v>
      </c>
      <c r="F689" s="15">
        <v>7602.299805</v>
      </c>
      <c r="G689" s="15">
        <v>106522.0</v>
      </c>
      <c r="H689" s="19">
        <f t="shared" si="1"/>
        <v>-0.007850020355</v>
      </c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8">
        <v>45358.0</v>
      </c>
      <c r="B690" s="15">
        <v>7590.100098</v>
      </c>
      <c r="C690" s="15">
        <v>7914.600098</v>
      </c>
      <c r="D690" s="15">
        <v>7585.850098</v>
      </c>
      <c r="E690" s="15">
        <v>7686.75</v>
      </c>
      <c r="F690" s="15">
        <v>7686.75</v>
      </c>
      <c r="G690" s="15">
        <v>302528.0</v>
      </c>
      <c r="H690" s="19">
        <f t="shared" si="1"/>
        <v>0.01110850626</v>
      </c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8">
        <v>45362.0</v>
      </c>
      <c r="B691" s="15">
        <v>7724.899902</v>
      </c>
      <c r="C691" s="15">
        <v>7748.0</v>
      </c>
      <c r="D691" s="15">
        <v>7633.149902</v>
      </c>
      <c r="E691" s="15">
        <v>7702.950195</v>
      </c>
      <c r="F691" s="15">
        <v>7702.950195</v>
      </c>
      <c r="G691" s="15">
        <v>132700.0</v>
      </c>
      <c r="H691" s="19">
        <f t="shared" si="1"/>
        <v>0.002107548053</v>
      </c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8">
        <v>45363.0</v>
      </c>
      <c r="B692" s="15">
        <v>7706.0</v>
      </c>
      <c r="C692" s="15">
        <v>7838.799805</v>
      </c>
      <c r="D692" s="15">
        <v>7515.0</v>
      </c>
      <c r="E692" s="15">
        <v>7573.899902</v>
      </c>
      <c r="F692" s="15">
        <v>7573.899902</v>
      </c>
      <c r="G692" s="15">
        <v>112485.0</v>
      </c>
      <c r="H692" s="19">
        <f t="shared" si="1"/>
        <v>-0.01675335939</v>
      </c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8">
        <v>45364.0</v>
      </c>
      <c r="B693" s="15">
        <v>7650.0</v>
      </c>
      <c r="C693" s="15">
        <v>7837.649902</v>
      </c>
      <c r="D693" s="15">
        <v>7335.0</v>
      </c>
      <c r="E693" s="15">
        <v>7392.799805</v>
      </c>
      <c r="F693" s="15">
        <v>7392.799805</v>
      </c>
      <c r="G693" s="15">
        <v>314712.0</v>
      </c>
      <c r="H693" s="19">
        <f t="shared" si="1"/>
        <v>-0.02391107611</v>
      </c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8">
        <v>45365.0</v>
      </c>
      <c r="B694" s="15">
        <v>7456.75</v>
      </c>
      <c r="C694" s="15">
        <v>7772.25</v>
      </c>
      <c r="D694" s="15">
        <v>7351.950195</v>
      </c>
      <c r="E694" s="15">
        <v>7730.600098</v>
      </c>
      <c r="F694" s="15">
        <v>7730.600098</v>
      </c>
      <c r="G694" s="15">
        <v>134183.0</v>
      </c>
      <c r="H694" s="19">
        <f t="shared" si="1"/>
        <v>0.04569314765</v>
      </c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8">
        <v>45366.0</v>
      </c>
      <c r="B695" s="15">
        <v>7744.0</v>
      </c>
      <c r="C695" s="15">
        <v>7825.0</v>
      </c>
      <c r="D695" s="15">
        <v>7600.0</v>
      </c>
      <c r="E695" s="15">
        <v>7707.0</v>
      </c>
      <c r="F695" s="15">
        <v>7707.0</v>
      </c>
      <c r="G695" s="15">
        <v>166240.0</v>
      </c>
      <c r="H695" s="19">
        <f t="shared" si="1"/>
        <v>-0.003052815784</v>
      </c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8">
        <v>45369.0</v>
      </c>
      <c r="B696" s="15">
        <v>7725.0</v>
      </c>
      <c r="C696" s="15">
        <v>7790.0</v>
      </c>
      <c r="D696" s="15">
        <v>7657.0</v>
      </c>
      <c r="E696" s="15">
        <v>7702.700195</v>
      </c>
      <c r="F696" s="15">
        <v>7702.700195</v>
      </c>
      <c r="G696" s="15">
        <v>79507.0</v>
      </c>
      <c r="H696" s="19">
        <f t="shared" si="1"/>
        <v>-0.0005579090437</v>
      </c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8">
        <v>45370.0</v>
      </c>
      <c r="B697" s="15">
        <v>7708.0</v>
      </c>
      <c r="C697" s="15">
        <v>7718.75</v>
      </c>
      <c r="D697" s="15">
        <v>7552.049805</v>
      </c>
      <c r="E697" s="15">
        <v>7635.850098</v>
      </c>
      <c r="F697" s="15">
        <v>7635.850098</v>
      </c>
      <c r="G697" s="15">
        <v>78340.0</v>
      </c>
      <c r="H697" s="19">
        <f t="shared" si="1"/>
        <v>-0.008678787348</v>
      </c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8">
        <v>45371.0</v>
      </c>
      <c r="B698" s="15">
        <v>7633.0</v>
      </c>
      <c r="C698" s="15">
        <v>7675.0</v>
      </c>
      <c r="D698" s="15">
        <v>7525.0</v>
      </c>
      <c r="E698" s="15">
        <v>7556.5</v>
      </c>
      <c r="F698" s="15">
        <v>7556.5</v>
      </c>
      <c r="G698" s="15">
        <v>67469.0</v>
      </c>
      <c r="H698" s="19">
        <f t="shared" si="1"/>
        <v>-0.0103917831</v>
      </c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8">
        <v>45372.0</v>
      </c>
      <c r="B699" s="15">
        <v>7626.049805</v>
      </c>
      <c r="C699" s="15">
        <v>7719.950195</v>
      </c>
      <c r="D699" s="15">
        <v>7588.950195</v>
      </c>
      <c r="E699" s="15">
        <v>7704.75</v>
      </c>
      <c r="F699" s="15">
        <v>7704.75</v>
      </c>
      <c r="G699" s="15">
        <v>79906.0</v>
      </c>
      <c r="H699" s="19">
        <f t="shared" si="1"/>
        <v>0.01961887117</v>
      </c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8">
        <v>45373.0</v>
      </c>
      <c r="B700" s="15">
        <v>7655.549805</v>
      </c>
      <c r="C700" s="15">
        <v>7689.799805</v>
      </c>
      <c r="D700" s="15">
        <v>7616.950195</v>
      </c>
      <c r="E700" s="15">
        <v>7665.0</v>
      </c>
      <c r="F700" s="15">
        <v>7665.0</v>
      </c>
      <c r="G700" s="15">
        <v>63721.0</v>
      </c>
      <c r="H700" s="19">
        <f t="shared" si="1"/>
        <v>-0.005159155067</v>
      </c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8">
        <v>45377.0</v>
      </c>
      <c r="B701" s="15">
        <v>7500.049805</v>
      </c>
      <c r="C701" s="15">
        <v>7725.0</v>
      </c>
      <c r="D701" s="15">
        <v>7500.049805</v>
      </c>
      <c r="E701" s="15">
        <v>7693.75</v>
      </c>
      <c r="F701" s="15">
        <v>7693.75</v>
      </c>
      <c r="G701" s="15">
        <v>117670.0</v>
      </c>
      <c r="H701" s="19">
        <f t="shared" si="1"/>
        <v>0.003750815395</v>
      </c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8">
        <v>45378.0</v>
      </c>
      <c r="B702" s="15">
        <v>7725.0</v>
      </c>
      <c r="C702" s="15">
        <v>7751.950195</v>
      </c>
      <c r="D702" s="15">
        <v>7632.100098</v>
      </c>
      <c r="E702" s="15">
        <v>7674.799805</v>
      </c>
      <c r="F702" s="15">
        <v>7674.799805</v>
      </c>
      <c r="G702" s="15">
        <v>156037.0</v>
      </c>
      <c r="H702" s="19">
        <f t="shared" si="1"/>
        <v>-0.002463063526</v>
      </c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8">
        <v>45379.0</v>
      </c>
      <c r="B703" s="15">
        <v>7750.0</v>
      </c>
      <c r="C703" s="15">
        <v>7870.0</v>
      </c>
      <c r="D703" s="15">
        <v>7704.0</v>
      </c>
      <c r="E703" s="15">
        <v>7785.149902</v>
      </c>
      <c r="F703" s="15">
        <v>7785.149902</v>
      </c>
      <c r="G703" s="15">
        <v>273766.0</v>
      </c>
      <c r="H703" s="19">
        <f t="shared" si="1"/>
        <v>0.01437823784</v>
      </c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8">
        <v>45383.0</v>
      </c>
      <c r="B704" s="15">
        <v>7845.0</v>
      </c>
      <c r="C704" s="15">
        <v>7858.0</v>
      </c>
      <c r="D704" s="15">
        <v>7725.399902</v>
      </c>
      <c r="E704" s="15">
        <v>7745.299805</v>
      </c>
      <c r="F704" s="15">
        <v>7745.299805</v>
      </c>
      <c r="G704" s="15">
        <v>78571.0</v>
      </c>
      <c r="H704" s="19">
        <f t="shared" si="1"/>
        <v>-0.005118732138</v>
      </c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8">
        <v>45384.0</v>
      </c>
      <c r="B705" s="15">
        <v>7740.0</v>
      </c>
      <c r="C705" s="15">
        <v>7769.899902</v>
      </c>
      <c r="D705" s="15">
        <v>7645.0</v>
      </c>
      <c r="E705" s="15">
        <v>7701.75</v>
      </c>
      <c r="F705" s="15">
        <v>7701.75</v>
      </c>
      <c r="G705" s="15">
        <v>93065.0</v>
      </c>
      <c r="H705" s="19">
        <f t="shared" si="1"/>
        <v>-0.005622739738</v>
      </c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8">
        <v>45385.0</v>
      </c>
      <c r="B706" s="15">
        <v>7703.0</v>
      </c>
      <c r="C706" s="15">
        <v>8106.0</v>
      </c>
      <c r="D706" s="15">
        <v>7666.0</v>
      </c>
      <c r="E706" s="15">
        <v>7997.899902</v>
      </c>
      <c r="F706" s="15">
        <v>7997.899902</v>
      </c>
      <c r="G706" s="15">
        <v>621796.0</v>
      </c>
      <c r="H706" s="19">
        <f t="shared" si="1"/>
        <v>0.03845228708</v>
      </c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8">
        <v>45386.0</v>
      </c>
      <c r="B707" s="15">
        <v>8117.850098</v>
      </c>
      <c r="C707" s="15">
        <v>8195.0</v>
      </c>
      <c r="D707" s="15">
        <v>7985.0</v>
      </c>
      <c r="E707" s="15">
        <v>8027.5</v>
      </c>
      <c r="F707" s="15">
        <v>8027.5</v>
      </c>
      <c r="G707" s="15">
        <v>224695.0</v>
      </c>
      <c r="H707" s="19">
        <f t="shared" si="1"/>
        <v>0.003700983804</v>
      </c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8">
        <v>45387.0</v>
      </c>
      <c r="B708" s="15">
        <v>8027.5</v>
      </c>
      <c r="C708" s="15">
        <v>8174.200195</v>
      </c>
      <c r="D708" s="15">
        <v>7988.100098</v>
      </c>
      <c r="E708" s="15">
        <v>8041.549805</v>
      </c>
      <c r="F708" s="15">
        <v>8041.549805</v>
      </c>
      <c r="G708" s="15">
        <v>125061.0</v>
      </c>
      <c r="H708" s="19">
        <f t="shared" si="1"/>
        <v>0.001750209281</v>
      </c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8">
        <v>45390.0</v>
      </c>
      <c r="B709" s="15">
        <v>8120.049805</v>
      </c>
      <c r="C709" s="15">
        <v>8133.850098</v>
      </c>
      <c r="D709" s="15">
        <v>7814.0</v>
      </c>
      <c r="E709" s="15">
        <v>7922.450195</v>
      </c>
      <c r="F709" s="15">
        <v>7922.450195</v>
      </c>
      <c r="G709" s="15">
        <v>125342.0</v>
      </c>
      <c r="H709" s="19">
        <f t="shared" si="1"/>
        <v>-0.01481052942</v>
      </c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8">
        <v>45391.0</v>
      </c>
      <c r="B710" s="15">
        <v>7985.850098</v>
      </c>
      <c r="C710" s="15">
        <v>8009.0</v>
      </c>
      <c r="D710" s="15">
        <v>7871.0</v>
      </c>
      <c r="E710" s="15">
        <v>7900.049805</v>
      </c>
      <c r="F710" s="15">
        <v>7900.049805</v>
      </c>
      <c r="G710" s="15">
        <v>115014.0</v>
      </c>
      <c r="H710" s="19">
        <f t="shared" si="1"/>
        <v>-0.002827457346</v>
      </c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8">
        <v>45392.0</v>
      </c>
      <c r="B711" s="15">
        <v>7956.0</v>
      </c>
      <c r="C711" s="15">
        <v>7956.0</v>
      </c>
      <c r="D711" s="15">
        <v>7801.0</v>
      </c>
      <c r="E711" s="15">
        <v>7846.75</v>
      </c>
      <c r="F711" s="15">
        <v>7846.75</v>
      </c>
      <c r="G711" s="15">
        <v>82754.0</v>
      </c>
      <c r="H711" s="19">
        <f t="shared" si="1"/>
        <v>-0.006746768225</v>
      </c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8">
        <v>45394.0</v>
      </c>
      <c r="B712" s="15">
        <v>7847.0</v>
      </c>
      <c r="C712" s="15">
        <v>7898.799805</v>
      </c>
      <c r="D712" s="15">
        <v>7733.0</v>
      </c>
      <c r="E712" s="15">
        <v>7753.75</v>
      </c>
      <c r="F712" s="15">
        <v>7753.75</v>
      </c>
      <c r="G712" s="15">
        <v>98316.0</v>
      </c>
      <c r="H712" s="19">
        <f t="shared" si="1"/>
        <v>-0.01185204065</v>
      </c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8">
        <v>45397.0</v>
      </c>
      <c r="B713" s="15">
        <v>7669.950195</v>
      </c>
      <c r="C713" s="15">
        <v>7710.0</v>
      </c>
      <c r="D713" s="15">
        <v>7506.0</v>
      </c>
      <c r="E713" s="15">
        <v>7525.75</v>
      </c>
      <c r="F713" s="15">
        <v>7525.75</v>
      </c>
      <c r="G713" s="15">
        <v>185200.0</v>
      </c>
      <c r="H713" s="19">
        <f t="shared" si="1"/>
        <v>-0.02940512655</v>
      </c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8">
        <v>45398.0</v>
      </c>
      <c r="B714" s="15">
        <v>7526.950195</v>
      </c>
      <c r="C714" s="15">
        <v>7629.899902</v>
      </c>
      <c r="D714" s="15">
        <v>7510.100098</v>
      </c>
      <c r="E714" s="15">
        <v>7530.0</v>
      </c>
      <c r="F714" s="15">
        <v>7530.0</v>
      </c>
      <c r="G714" s="15">
        <v>80626.0</v>
      </c>
      <c r="H714" s="19">
        <f t="shared" si="1"/>
        <v>0.000564727768</v>
      </c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8">
        <v>45400.0</v>
      </c>
      <c r="B715" s="15">
        <v>7578.049805</v>
      </c>
      <c r="C715" s="15">
        <v>7584.299805</v>
      </c>
      <c r="D715" s="15">
        <v>7477.0</v>
      </c>
      <c r="E715" s="15">
        <v>7493.350098</v>
      </c>
      <c r="F715" s="15">
        <v>7493.350098</v>
      </c>
      <c r="G715" s="15">
        <v>138170.0</v>
      </c>
      <c r="H715" s="19">
        <f t="shared" si="1"/>
        <v>-0.004867184861</v>
      </c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8">
        <v>45401.0</v>
      </c>
      <c r="B716" s="15">
        <v>7474.0</v>
      </c>
      <c r="C716" s="15">
        <v>7475.850098</v>
      </c>
      <c r="D716" s="15">
        <v>7368.0</v>
      </c>
      <c r="E716" s="15">
        <v>7451.0</v>
      </c>
      <c r="F716" s="15">
        <v>7451.0</v>
      </c>
      <c r="G716" s="15">
        <v>97601.0</v>
      </c>
      <c r="H716" s="19">
        <f t="shared" si="1"/>
        <v>-0.005651690825</v>
      </c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8">
        <v>45404.0</v>
      </c>
      <c r="B717" s="15">
        <v>7487.0</v>
      </c>
      <c r="C717" s="15">
        <v>7575.75</v>
      </c>
      <c r="D717" s="15">
        <v>7420.0</v>
      </c>
      <c r="E717" s="15">
        <v>7436.649902</v>
      </c>
      <c r="F717" s="15">
        <v>7436.649902</v>
      </c>
      <c r="G717" s="15">
        <v>121025.0</v>
      </c>
      <c r="H717" s="19">
        <f t="shared" si="1"/>
        <v>-0.001925929137</v>
      </c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8">
        <v>45405.0</v>
      </c>
      <c r="B718" s="15">
        <v>7498.0</v>
      </c>
      <c r="C718" s="15">
        <v>7498.799805</v>
      </c>
      <c r="D718" s="15">
        <v>7380.0</v>
      </c>
      <c r="E718" s="15">
        <v>7395.200195</v>
      </c>
      <c r="F718" s="15">
        <v>7395.200195</v>
      </c>
      <c r="G718" s="15">
        <v>127264.0</v>
      </c>
      <c r="H718" s="19">
        <f t="shared" si="1"/>
        <v>-0.005573706917</v>
      </c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8">
        <v>45406.0</v>
      </c>
      <c r="B719" s="15">
        <v>7034.049805</v>
      </c>
      <c r="C719" s="15">
        <v>7247.299805</v>
      </c>
      <c r="D719" s="15">
        <v>7000.0</v>
      </c>
      <c r="E719" s="15">
        <v>7030.149902</v>
      </c>
      <c r="F719" s="15">
        <v>7030.149902</v>
      </c>
      <c r="G719" s="15">
        <v>806331.0</v>
      </c>
      <c r="H719" s="19">
        <f t="shared" si="1"/>
        <v>-0.04936313871</v>
      </c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8">
        <v>45407.0</v>
      </c>
      <c r="B720" s="15">
        <v>7087.149902</v>
      </c>
      <c r="C720" s="15">
        <v>7115.0</v>
      </c>
      <c r="D720" s="15">
        <v>7060.0</v>
      </c>
      <c r="E720" s="15">
        <v>7093.899902</v>
      </c>
      <c r="F720" s="15">
        <v>7093.899902</v>
      </c>
      <c r="G720" s="15">
        <v>145948.0</v>
      </c>
      <c r="H720" s="19">
        <f t="shared" si="1"/>
        <v>0.009068085445</v>
      </c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8">
        <v>45408.0</v>
      </c>
      <c r="B721" s="15">
        <v>7130.0</v>
      </c>
      <c r="C721" s="15">
        <v>7195.0</v>
      </c>
      <c r="D721" s="15">
        <v>7082.0</v>
      </c>
      <c r="E721" s="15">
        <v>7103.700195</v>
      </c>
      <c r="F721" s="15">
        <v>7103.700195</v>
      </c>
      <c r="G721" s="15">
        <v>125101.0</v>
      </c>
      <c r="H721" s="19">
        <f t="shared" si="1"/>
        <v>0.001381509908</v>
      </c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8">
        <v>45411.0</v>
      </c>
      <c r="B722" s="15">
        <v>7174.0</v>
      </c>
      <c r="C722" s="15">
        <v>7174.0</v>
      </c>
      <c r="D722" s="15">
        <v>7078.049805</v>
      </c>
      <c r="E722" s="15">
        <v>7102.600098</v>
      </c>
      <c r="F722" s="15">
        <v>7102.600098</v>
      </c>
      <c r="G722" s="15">
        <v>93406.0</v>
      </c>
      <c r="H722" s="19">
        <f t="shared" si="1"/>
        <v>-0.0001548625322</v>
      </c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8">
        <v>45412.0</v>
      </c>
      <c r="B723" s="15">
        <v>7100.0</v>
      </c>
      <c r="C723" s="15">
        <v>7162.950195</v>
      </c>
      <c r="D723" s="15">
        <v>7025.0</v>
      </c>
      <c r="E723" s="15">
        <v>7051.899902</v>
      </c>
      <c r="F723" s="15">
        <v>7051.899902</v>
      </c>
      <c r="G723" s="15">
        <v>134157.0</v>
      </c>
      <c r="H723" s="19">
        <f t="shared" si="1"/>
        <v>-0.007138258567</v>
      </c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8">
        <v>45414.0</v>
      </c>
      <c r="B724" s="15">
        <v>7098.0</v>
      </c>
      <c r="C724" s="15">
        <v>7195.0</v>
      </c>
      <c r="D724" s="15">
        <v>7065.899902</v>
      </c>
      <c r="E724" s="15">
        <v>7151.450195</v>
      </c>
      <c r="F724" s="15">
        <v>7151.450195</v>
      </c>
      <c r="G724" s="15">
        <v>117397.0</v>
      </c>
      <c r="H724" s="19">
        <f t="shared" si="1"/>
        <v>0.0141168046</v>
      </c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8">
        <v>45415.0</v>
      </c>
      <c r="B725" s="15">
        <v>7195.0</v>
      </c>
      <c r="C725" s="15">
        <v>7198.0</v>
      </c>
      <c r="D725" s="15">
        <v>7080.0</v>
      </c>
      <c r="E725" s="15">
        <v>7111.75</v>
      </c>
      <c r="F725" s="15">
        <v>7111.75</v>
      </c>
      <c r="G725" s="15">
        <v>82962.0</v>
      </c>
      <c r="H725" s="19">
        <f t="shared" si="1"/>
        <v>-0.005551348876</v>
      </c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8">
        <v>45418.0</v>
      </c>
      <c r="B726" s="15">
        <v>7148.0</v>
      </c>
      <c r="C726" s="15">
        <v>7165.899902</v>
      </c>
      <c r="D726" s="15">
        <v>7071.149902</v>
      </c>
      <c r="E726" s="15">
        <v>7087.549805</v>
      </c>
      <c r="F726" s="15">
        <v>7087.549805</v>
      </c>
      <c r="G726" s="15">
        <v>67837.0</v>
      </c>
      <c r="H726" s="19">
        <f t="shared" si="1"/>
        <v>-0.003402846697</v>
      </c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8">
        <v>45419.0</v>
      </c>
      <c r="B727" s="15">
        <v>7143.950195</v>
      </c>
      <c r="C727" s="15">
        <v>7159.0</v>
      </c>
      <c r="D727" s="15">
        <v>7010.75</v>
      </c>
      <c r="E727" s="15">
        <v>7137.850098</v>
      </c>
      <c r="F727" s="15">
        <v>7137.850098</v>
      </c>
      <c r="G727" s="15">
        <v>84322.0</v>
      </c>
      <c r="H727" s="19">
        <f t="shared" si="1"/>
        <v>0.007096993232</v>
      </c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8">
        <v>45420.0</v>
      </c>
      <c r="B728" s="15">
        <v>7140.0</v>
      </c>
      <c r="C728" s="15">
        <v>7145.0</v>
      </c>
      <c r="D728" s="15">
        <v>7062.0</v>
      </c>
      <c r="E728" s="15">
        <v>7115.600098</v>
      </c>
      <c r="F728" s="15">
        <v>7115.600098</v>
      </c>
      <c r="G728" s="15">
        <v>65874.0</v>
      </c>
      <c r="H728" s="19">
        <f t="shared" si="1"/>
        <v>-0.003117185104</v>
      </c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8">
        <v>45421.0</v>
      </c>
      <c r="B729" s="15">
        <v>7115.600098</v>
      </c>
      <c r="C729" s="15">
        <v>7188.0</v>
      </c>
      <c r="D729" s="15">
        <v>7076.299805</v>
      </c>
      <c r="E729" s="15">
        <v>7151.450195</v>
      </c>
      <c r="F729" s="15">
        <v>7151.450195</v>
      </c>
      <c r="G729" s="15">
        <v>82557.0</v>
      </c>
      <c r="H729" s="19">
        <f t="shared" si="1"/>
        <v>0.005038239433</v>
      </c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8">
        <v>45422.0</v>
      </c>
      <c r="B730" s="15">
        <v>7151.200195</v>
      </c>
      <c r="C730" s="15">
        <v>7151.200195</v>
      </c>
      <c r="D730" s="15">
        <v>7070.5</v>
      </c>
      <c r="E730" s="15">
        <v>7127.399902</v>
      </c>
      <c r="F730" s="15">
        <v>7127.399902</v>
      </c>
      <c r="G730" s="15">
        <v>70788.0</v>
      </c>
      <c r="H730" s="19">
        <f t="shared" si="1"/>
        <v>-0.003362995245</v>
      </c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8">
        <v>45425.0</v>
      </c>
      <c r="B731" s="15">
        <v>7120.0</v>
      </c>
      <c r="C731" s="15">
        <v>7120.0</v>
      </c>
      <c r="D731" s="15">
        <v>7006.0</v>
      </c>
      <c r="E731" s="15">
        <v>7069.0</v>
      </c>
      <c r="F731" s="15">
        <v>7069.0</v>
      </c>
      <c r="G731" s="15">
        <v>84651.0</v>
      </c>
      <c r="H731" s="19">
        <f t="shared" si="1"/>
        <v>-0.008193717597</v>
      </c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8">
        <v>45426.0</v>
      </c>
      <c r="B732" s="15">
        <v>7070.0</v>
      </c>
      <c r="C732" s="15">
        <v>7131.0</v>
      </c>
      <c r="D732" s="15">
        <v>7055.450195</v>
      </c>
      <c r="E732" s="15">
        <v>7088.149902</v>
      </c>
      <c r="F732" s="15">
        <v>7088.149902</v>
      </c>
      <c r="G732" s="15">
        <v>50731.0</v>
      </c>
      <c r="H732" s="19">
        <f t="shared" si="1"/>
        <v>0.002708997312</v>
      </c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8">
        <v>45427.0</v>
      </c>
      <c r="B733" s="15">
        <v>7097.0</v>
      </c>
      <c r="C733" s="15">
        <v>7271.0</v>
      </c>
      <c r="D733" s="15">
        <v>7065.0</v>
      </c>
      <c r="E733" s="15">
        <v>7222.25</v>
      </c>
      <c r="F733" s="15">
        <v>7222.25</v>
      </c>
      <c r="G733" s="15">
        <v>126317.0</v>
      </c>
      <c r="H733" s="19">
        <f t="shared" si="1"/>
        <v>0.01891891394</v>
      </c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8">
        <v>45428.0</v>
      </c>
      <c r="B734" s="15">
        <v>7251.0</v>
      </c>
      <c r="C734" s="15">
        <v>7320.0</v>
      </c>
      <c r="D734" s="15">
        <v>7243.0</v>
      </c>
      <c r="E734" s="15">
        <v>7299.600098</v>
      </c>
      <c r="F734" s="15">
        <v>7299.600098</v>
      </c>
      <c r="G734" s="15">
        <v>146481.0</v>
      </c>
      <c r="H734" s="19">
        <f t="shared" si="1"/>
        <v>0.01070997238</v>
      </c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8">
        <v>45429.0</v>
      </c>
      <c r="B735" s="15">
        <v>7300.0</v>
      </c>
      <c r="C735" s="15">
        <v>7369.700195</v>
      </c>
      <c r="D735" s="15">
        <v>7270.0</v>
      </c>
      <c r="E735" s="15">
        <v>7359.0</v>
      </c>
      <c r="F735" s="15">
        <v>7359.0</v>
      </c>
      <c r="G735" s="15">
        <v>82866.0</v>
      </c>
      <c r="H735" s="19">
        <f t="shared" si="1"/>
        <v>0.008137418653</v>
      </c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8">
        <v>45433.0</v>
      </c>
      <c r="B736" s="15">
        <v>7350.0</v>
      </c>
      <c r="C736" s="15">
        <v>7350.0</v>
      </c>
      <c r="D736" s="15">
        <v>7220.0</v>
      </c>
      <c r="E736" s="15">
        <v>7238.899902</v>
      </c>
      <c r="F736" s="15">
        <v>7238.899902</v>
      </c>
      <c r="G736" s="15">
        <v>62475.0</v>
      </c>
      <c r="H736" s="19">
        <f t="shared" si="1"/>
        <v>-0.01632016551</v>
      </c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8">
        <v>45434.0</v>
      </c>
      <c r="B737" s="15">
        <v>7232.049805</v>
      </c>
      <c r="C737" s="15">
        <v>7303.600098</v>
      </c>
      <c r="D737" s="15">
        <v>7171.5</v>
      </c>
      <c r="E737" s="15">
        <v>7211.600098</v>
      </c>
      <c r="F737" s="15">
        <v>7211.600098</v>
      </c>
      <c r="G737" s="15">
        <v>112856.0</v>
      </c>
      <c r="H737" s="19">
        <f t="shared" si="1"/>
        <v>-0.003771264193</v>
      </c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8">
        <v>45435.0</v>
      </c>
      <c r="B738" s="15">
        <v>7268.950195</v>
      </c>
      <c r="C738" s="15">
        <v>7559.0</v>
      </c>
      <c r="D738" s="15">
        <v>7240.149902</v>
      </c>
      <c r="E738" s="15">
        <v>7416.600098</v>
      </c>
      <c r="F738" s="15">
        <v>7416.600098</v>
      </c>
      <c r="G738" s="15">
        <v>280742.0</v>
      </c>
      <c r="H738" s="19">
        <f t="shared" si="1"/>
        <v>0.02842642371</v>
      </c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8">
        <v>45436.0</v>
      </c>
      <c r="B739" s="15">
        <v>7416.600098</v>
      </c>
      <c r="C739" s="15">
        <v>7423.899902</v>
      </c>
      <c r="D739" s="15">
        <v>7326.049805</v>
      </c>
      <c r="E739" s="15">
        <v>7374.950195</v>
      </c>
      <c r="F739" s="15">
        <v>7374.950195</v>
      </c>
      <c r="G739" s="15">
        <v>86161.0</v>
      </c>
      <c r="H739" s="19">
        <f t="shared" si="1"/>
        <v>-0.005615767663</v>
      </c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8">
        <v>45439.0</v>
      </c>
      <c r="B740" s="15">
        <v>7374.950195</v>
      </c>
      <c r="C740" s="15">
        <v>7459.899902</v>
      </c>
      <c r="D740" s="15">
        <v>7305.0</v>
      </c>
      <c r="E740" s="15">
        <v>7316.799805</v>
      </c>
      <c r="F740" s="15">
        <v>7316.799805</v>
      </c>
      <c r="G740" s="15">
        <v>83671.0</v>
      </c>
      <c r="H740" s="19">
        <f t="shared" si="1"/>
        <v>-0.007884851892</v>
      </c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8">
        <v>45440.0</v>
      </c>
      <c r="B741" s="15">
        <v>7360.0</v>
      </c>
      <c r="C741" s="15">
        <v>7385.0</v>
      </c>
      <c r="D741" s="15">
        <v>7303.350098</v>
      </c>
      <c r="E741" s="15">
        <v>7319.899902</v>
      </c>
      <c r="F741" s="15">
        <v>7319.899902</v>
      </c>
      <c r="G741" s="15">
        <v>64306.0</v>
      </c>
      <c r="H741" s="19">
        <f t="shared" si="1"/>
        <v>0.0004236957526</v>
      </c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8">
        <v>45441.0</v>
      </c>
      <c r="B742" s="15">
        <v>7310.5</v>
      </c>
      <c r="C742" s="15">
        <v>7313.0</v>
      </c>
      <c r="D742" s="15">
        <v>7252.350098</v>
      </c>
      <c r="E742" s="15">
        <v>7290.200195</v>
      </c>
      <c r="F742" s="15">
        <v>7290.200195</v>
      </c>
      <c r="G742" s="15">
        <v>67954.0</v>
      </c>
      <c r="H742" s="19">
        <f t="shared" si="1"/>
        <v>-0.004057392505</v>
      </c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8">
        <v>45443.0</v>
      </c>
      <c r="B743" s="15">
        <v>7240.0</v>
      </c>
      <c r="C743" s="15">
        <v>7244.0</v>
      </c>
      <c r="D743" s="15">
        <v>6903.0</v>
      </c>
      <c r="E743" s="15">
        <v>6944.350098</v>
      </c>
      <c r="F743" s="15">
        <v>6944.350098</v>
      </c>
      <c r="G743" s="15">
        <v>505450.0</v>
      </c>
      <c r="H743" s="19">
        <f t="shared" si="1"/>
        <v>-0.04744041148</v>
      </c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5"/>
    <col customWidth="1" min="2" max="2" width="12.63"/>
    <col customWidth="1" min="3" max="3" width="13.75"/>
    <col customWidth="1" min="4" max="4" width="17.75"/>
    <col customWidth="1" min="13" max="13" width="20.38"/>
    <col customWidth="1" min="14" max="14" width="14.25"/>
    <col customWidth="1" min="15" max="15" width="13.75"/>
    <col customWidth="1" min="16" max="16" width="17.75"/>
    <col customWidth="1" min="17" max="17" width="14.75"/>
    <col customWidth="1" min="19" max="20" width="17.75"/>
  </cols>
  <sheetData>
    <row r="1">
      <c r="A1" s="20" t="str">
        <f>IFERROR(__xludf.DUMMYFUNCTION("UNIQUE({INFY.NS!A:A;IRCTC.NS!A:A;TATAELXSI.NS!A:A})"),"Date")</f>
        <v>Date</v>
      </c>
      <c r="B1" s="21" t="s">
        <v>21</v>
      </c>
      <c r="C1" s="22" t="s">
        <v>22</v>
      </c>
      <c r="D1" s="23" t="s">
        <v>23</v>
      </c>
      <c r="E1" s="24"/>
      <c r="F1" s="24"/>
      <c r="G1" s="24"/>
      <c r="H1" s="24"/>
      <c r="I1" s="24"/>
      <c r="J1" s="24"/>
      <c r="K1" s="24"/>
      <c r="L1" s="24"/>
      <c r="M1" s="25" t="s">
        <v>24</v>
      </c>
      <c r="N1" s="21" t="s">
        <v>21</v>
      </c>
      <c r="O1" s="26" t="s">
        <v>22</v>
      </c>
      <c r="P1" s="27" t="s">
        <v>23</v>
      </c>
      <c r="Q1" s="28" t="s">
        <v>25</v>
      </c>
      <c r="R1" s="24"/>
      <c r="S1" s="29" t="s">
        <v>26</v>
      </c>
      <c r="T1" s="30" t="s">
        <v>27</v>
      </c>
      <c r="U1" s="24"/>
      <c r="V1" s="24"/>
      <c r="W1" s="24"/>
      <c r="X1" s="24"/>
      <c r="Y1" s="24"/>
      <c r="Z1" s="24"/>
    </row>
    <row r="2">
      <c r="A2" s="31">
        <f>IFERROR(__xludf.DUMMYFUNCTION("""COMPUTED_VALUE"""),44347.0)</f>
        <v>44347</v>
      </c>
      <c r="B2" s="32" t="str">
        <f>IFERROR(__xludf.DUMMYFUNCTION("FILTER(INFY.NS!H:H,INFY.NS!A:A=A2)"),"")</f>
        <v/>
      </c>
      <c r="C2" s="33" t="str">
        <f>IFERROR(__xludf.DUMMYFUNCTION("FILTER(IRCTC.NS!H:H,IRCTC.NS!A:A=A2)"),"")</f>
        <v/>
      </c>
      <c r="D2" s="33" t="str">
        <f>IFERROR(__xludf.DUMMYFUNCTION("FILTER(TATAELXSI.NS!H:H,TATAELXSI.NS!A:A=A2)"),"")</f>
        <v/>
      </c>
      <c r="E2" s="34"/>
      <c r="F2" s="34"/>
      <c r="G2" s="34"/>
      <c r="H2" s="34"/>
      <c r="I2" s="34"/>
      <c r="J2" s="34"/>
      <c r="K2" s="34"/>
      <c r="L2" s="34"/>
      <c r="M2" s="35" t="s">
        <v>28</v>
      </c>
      <c r="N2" s="36">
        <f>IFERROR(__xludf.DUMMYFUNCTION("AVERAGE(FILTER(B:B, ISNUMBER(B:B)))"),1.294640023159634E-4)</f>
        <v>0.0001294640023</v>
      </c>
      <c r="O2" s="37">
        <f>IFERROR(__xludf.DUMMYFUNCTION("AVERAGE(FILTER(C:C, ISNUMBER(C:C)))"),0.0016130517459550593)</f>
        <v>0.001613051746</v>
      </c>
      <c r="P2" s="38">
        <f>IFERROR(__xludf.DUMMYFUNCTION("AVERAGE(FILTER(D:D, ISNUMBER(D:D)))"),0.0010941794212157817)</f>
        <v>0.001094179421</v>
      </c>
      <c r="Q2" s="39">
        <f>IFERROR(__xludf.DUMMYFUNCTION("AVERAGE(FILTER('Returns Data'!F:F, ISNUMBER('Returns Data'!F:F)))"),9.604264929676198E-4)</f>
        <v>0.000960426493</v>
      </c>
      <c r="R2" s="34"/>
      <c r="S2" s="40" t="str">
        <f t="shared" ref="S2:S7" si="1">index($N$1:$Q$1, MATCH(max(N2:Q2),N2:Q2,0) )</f>
        <v>Return - IRCTC</v>
      </c>
      <c r="T2" s="41" t="str">
        <f t="shared" ref="T2:T7" si="2">index($N$1:$Q$1, MATCH(MIN(N2:Q2),N2:Q2,0) )</f>
        <v>Return - INFY</v>
      </c>
      <c r="U2" s="34"/>
      <c r="V2" s="34"/>
      <c r="W2" s="34"/>
      <c r="X2" s="34"/>
      <c r="Y2" s="34"/>
      <c r="Z2" s="34"/>
    </row>
    <row r="3">
      <c r="A3" s="31">
        <f>IFERROR(__xludf.DUMMYFUNCTION("""COMPUTED_VALUE"""),44348.0)</f>
        <v>44348</v>
      </c>
      <c r="B3" s="32">
        <f>IFERROR(__xludf.DUMMYFUNCTION("FILTER(INFY.NS!H:H,INFY.NS!A:A=A3)"),-0.004699586726457359)</f>
        <v>-0.004699586726</v>
      </c>
      <c r="C3" s="32">
        <f>IFERROR(__xludf.DUMMYFUNCTION("FILTER(IRCTC.NS!H:H,IRCTC.NS!A:A=A3)"),-0.00451871041461582)</f>
        <v>-0.004518710415</v>
      </c>
      <c r="D3" s="32">
        <f>IFERROR(__xludf.DUMMYFUNCTION("FILTER(TATAELXSI.NS!H:H,TATAELXSI.NS!A:A=A3)"),-0.0093727673671925)</f>
        <v>-0.009372767367</v>
      </c>
      <c r="E3" s="34"/>
      <c r="F3" s="34"/>
      <c r="G3" s="34"/>
      <c r="H3" s="34"/>
      <c r="I3" s="34"/>
      <c r="J3" s="34"/>
      <c r="K3" s="34"/>
      <c r="L3" s="34"/>
      <c r="M3" s="35" t="s">
        <v>29</v>
      </c>
      <c r="N3" s="42">
        <f>IFERROR(__xludf.DUMMYFUNCTION("MEDIAN(FILTER(B:B, ISNUMBER(B:B)))"),1.5721293403561423E-4)</f>
        <v>0.000157212934</v>
      </c>
      <c r="O3" s="43">
        <f>IFERROR(__xludf.DUMMYFUNCTION("MEDIAN(FILTER(C:C, ISNUMBER(C:C)))"),7.660003231690941E-4)</f>
        <v>0.0007660003232</v>
      </c>
      <c r="P3" s="44">
        <f>IFERROR(__xludf.DUMMYFUNCTION("MEDIAN(FILTER(D:D, ISNUMBER(D:D)))"),-6.065683104289261E-5)</f>
        <v>-0.00006065683104</v>
      </c>
      <c r="Q3" s="45">
        <f>IFERROR(__xludf.DUMMYFUNCTION("MEDIAN(FILTER('Returns Data'!F:F, ISNUMBER('Returns Data'!F:F)))"),0.0010943895327011142)</f>
        <v>0.001094389533</v>
      </c>
      <c r="R3" s="34"/>
      <c r="S3" s="40" t="str">
        <f t="shared" si="1"/>
        <v>Combined Index</v>
      </c>
      <c r="T3" s="40" t="str">
        <f t="shared" si="2"/>
        <v>Return - TATAELXSI</v>
      </c>
      <c r="U3" s="34"/>
      <c r="V3" s="34"/>
      <c r="W3" s="34"/>
      <c r="X3" s="34"/>
      <c r="Y3" s="34"/>
      <c r="Z3" s="34"/>
    </row>
    <row r="4">
      <c r="A4" s="31">
        <f>IFERROR(__xludf.DUMMYFUNCTION("""COMPUTED_VALUE"""),44349.0)</f>
        <v>44349</v>
      </c>
      <c r="B4" s="32">
        <f>IFERROR(__xludf.DUMMYFUNCTION("FILTER(INFY.NS!H:H,INFY.NS!A:A=A4)"),-0.006163442403408811)</f>
        <v>-0.006163442403</v>
      </c>
      <c r="C4" s="32">
        <f>IFERROR(__xludf.DUMMYFUNCTION("FILTER(IRCTC.NS!H:H,IRCTC.NS!A:A=A4)"),0.012324455926797411)</f>
        <v>0.01232445593</v>
      </c>
      <c r="D4" s="32">
        <f>IFERROR(__xludf.DUMMYFUNCTION("FILTER(TATAELXSI.NS!H:H,TATAELXSI.NS!A:A=A4)"),-0.004986978580574029)</f>
        <v>-0.004986978581</v>
      </c>
      <c r="E4" s="34"/>
      <c r="F4" s="34"/>
      <c r="G4" s="34"/>
      <c r="H4" s="34"/>
      <c r="I4" s="34"/>
      <c r="J4" s="34"/>
      <c r="K4" s="34"/>
      <c r="L4" s="34"/>
      <c r="M4" s="35" t="s">
        <v>30</v>
      </c>
      <c r="N4" s="42">
        <f>IFERROR(__xludf.DUMMYFUNCTION("MAX(FILTER(B:B, ISNUMBER(B:B))-MIN(FILTER(B:B, ISNUMBER(B:B))))"),0.08952723922885115)</f>
        <v>0.08952723923</v>
      </c>
      <c r="O4" s="43">
        <f>IFERROR(__xludf.DUMMYFUNCTION("MAX(FILTER(C:C, ISNUMBER(C:C))-MIN(FILTER(C:C, ISNUMBER(C:C))))"),0.1825624938580543)</f>
        <v>0.1825624939</v>
      </c>
      <c r="P4" s="44">
        <f>IFERROR(__xludf.DUMMYFUNCTION("MAX(FILTER(D:D, ISNUMBER(D:D))-MIN(FILTER(D:D, ISNUMBER(D:D))))"),0.07127763523238217)</f>
        <v>0.07127763523</v>
      </c>
      <c r="Q4" s="45">
        <f>IFERROR(__xludf.DUMMYFUNCTION("MAX(FILTER('Returns Data'!F:F, ISNUMBER('Returns Data'!F:F))-MIN(FILTER('Returns Data'!F:F, ISNUMBER('Returns Data'!F:F))))"),0.06481239612207516)</f>
        <v>0.06481239612</v>
      </c>
      <c r="R4" s="34"/>
      <c r="S4" s="40" t="str">
        <f t="shared" si="1"/>
        <v>Return - IRCTC</v>
      </c>
      <c r="T4" s="40" t="str">
        <f t="shared" si="2"/>
        <v>Combined Index</v>
      </c>
      <c r="U4" s="34"/>
      <c r="V4" s="34"/>
      <c r="W4" s="34"/>
      <c r="X4" s="34"/>
      <c r="Y4" s="34"/>
      <c r="Z4" s="34"/>
    </row>
    <row r="5">
      <c r="A5" s="31">
        <f>IFERROR(__xludf.DUMMYFUNCTION("""COMPUTED_VALUE"""),44350.0)</f>
        <v>44350</v>
      </c>
      <c r="B5" s="32">
        <f>IFERROR(__xludf.DUMMYFUNCTION("FILTER(INFY.NS!H:H,INFY.NS!A:A=A5)"),0.007978819721110019)</f>
        <v>0.007978819721</v>
      </c>
      <c r="C5" s="32">
        <f>IFERROR(__xludf.DUMMYFUNCTION("FILTER(IRCTC.NS!H:H,IRCTC.NS!A:A=A5)"),0.002007322943844473)</f>
        <v>0.002007322944</v>
      </c>
      <c r="D5" s="32">
        <f>IFERROR(__xludf.DUMMYFUNCTION("FILTER(TATAELXSI.NS!H:H,TATAELXSI.NS!A:A=A5)"),-0.006306705635144306)</f>
        <v>-0.006306705635</v>
      </c>
      <c r="E5" s="34"/>
      <c r="F5" s="34"/>
      <c r="G5" s="34"/>
      <c r="H5" s="34"/>
      <c r="I5" s="34"/>
      <c r="J5" s="34"/>
      <c r="K5" s="34"/>
      <c r="L5" s="34"/>
      <c r="M5" s="35" t="s">
        <v>31</v>
      </c>
      <c r="N5" s="46">
        <f>IFERROR(__xludf.DUMMYFUNCTION("VAR(FILTER(B:B, ISNUMBER(B:B)))"),2.327671851154746E-4)</f>
        <v>0.0002327671851</v>
      </c>
      <c r="O5" s="47">
        <f>IFERROR(__xludf.DUMMYFUNCTION("VAR(FILTER(C:C, ISNUMBER(C:C)))"),5.601701230217362E-4)</f>
        <v>0.000560170123</v>
      </c>
      <c r="P5" s="45">
        <f>IFERROR(__xludf.DUMMYFUNCTION("VAR(FILTER(D:D, ISNUMBER(D:D)))"),4.519098257360407E-4)</f>
        <v>0.0004519098257</v>
      </c>
      <c r="Q5" s="45">
        <f>IFERROR(__xludf.DUMMYFUNCTION("VAR(FILTER('Returns Data'!F:F, ISNUMBER('Returns Data'!F:F)))"),2.092804293715003E-4)</f>
        <v>0.0002092804294</v>
      </c>
      <c r="R5" s="34"/>
      <c r="S5" s="40" t="str">
        <f t="shared" si="1"/>
        <v>Return - IRCTC</v>
      </c>
      <c r="T5" s="40" t="str">
        <f t="shared" si="2"/>
        <v>Combined Index</v>
      </c>
      <c r="U5" s="34"/>
      <c r="V5" s="34"/>
      <c r="W5" s="34"/>
      <c r="X5" s="34"/>
      <c r="Y5" s="34"/>
      <c r="Z5" s="34"/>
    </row>
    <row r="6">
      <c r="A6" s="31">
        <f>IFERROR(__xludf.DUMMYFUNCTION("""COMPUTED_VALUE"""),44351.0)</f>
        <v>44351</v>
      </c>
      <c r="B6" s="32">
        <f>IFERROR(__xludf.DUMMYFUNCTION("FILTER(INFY.NS!H:H,INFY.NS!A:A=A6)"),-0.002878422574689928)</f>
        <v>-0.002878422575</v>
      </c>
      <c r="C6" s="32">
        <f>IFERROR(__xludf.DUMMYFUNCTION("FILTER(IRCTC.NS!H:H,IRCTC.NS!A:A=A6)"),-5.2005933968411366E-5)</f>
        <v>-0.00005200593397</v>
      </c>
      <c r="D6" s="32">
        <f>IFERROR(__xludf.DUMMYFUNCTION("FILTER(TATAELXSI.NS!H:H,TATAELXSI.NS!A:A=A6)"),-7.28573870402771E-4)</f>
        <v>-0.0007285738704</v>
      </c>
      <c r="E6" s="34"/>
      <c r="F6" s="34"/>
      <c r="G6" s="34"/>
      <c r="H6" s="34"/>
      <c r="I6" s="34"/>
      <c r="J6" s="34"/>
      <c r="K6" s="34"/>
      <c r="L6" s="34"/>
      <c r="M6" s="35" t="s">
        <v>32</v>
      </c>
      <c r="N6" s="46">
        <f>IFERROR(__xludf.DUMMYFUNCTION("STDEV(FILTER(B:B, ISNUMBER(B:B)))"),0.015256709511407581)</f>
        <v>0.01525670951</v>
      </c>
      <c r="O6" s="47">
        <f>IFERROR(__xludf.DUMMYFUNCTION("STDEV(FILTER(C:C, ISNUMBER(C:C)))"),0.023667913364336456)</f>
        <v>0.02366791336</v>
      </c>
      <c r="P6" s="45">
        <f>IFERROR(__xludf.DUMMYFUNCTION("STDEV(FILTER(D:D, ISNUMBER(D:D)))"),0.02125817079939007)</f>
        <v>0.0212581708</v>
      </c>
      <c r="Q6" s="45">
        <f>IFERROR(__xludf.DUMMYFUNCTION("STDEV(FILTER('Returns Data'!F:F, ISNUMBER('Returns Data'!F:F)))"),0.014466527896198877)</f>
        <v>0.0144665279</v>
      </c>
      <c r="R6" s="34"/>
      <c r="S6" s="40" t="str">
        <f t="shared" si="1"/>
        <v>Return - IRCTC</v>
      </c>
      <c r="T6" s="40" t="str">
        <f t="shared" si="2"/>
        <v>Combined Index</v>
      </c>
      <c r="U6" s="34"/>
      <c r="V6" s="34"/>
      <c r="W6" s="34"/>
      <c r="X6" s="34"/>
      <c r="Y6" s="34"/>
      <c r="Z6" s="34"/>
    </row>
    <row r="7">
      <c r="A7" s="31">
        <f>IFERROR(__xludf.DUMMYFUNCTION("""COMPUTED_VALUE"""),44354.0)</f>
        <v>44354</v>
      </c>
      <c r="B7" s="32">
        <f>IFERROR(__xludf.DUMMYFUNCTION("FILTER(INFY.NS!H:H,INFY.NS!A:A=A7)"),0.0028867318086951512)</f>
        <v>0.002886731809</v>
      </c>
      <c r="C7" s="32">
        <f>IFERROR(__xludf.DUMMYFUNCTION("FILTER(IRCTC.NS!H:H,IRCTC.NS!A:A=A7)"),0.09007648269840753)</f>
        <v>0.0900764827</v>
      </c>
      <c r="D7" s="32">
        <f>IFERROR(__xludf.DUMMYFUNCTION("FILTER(TATAELXSI.NS!H:H,TATAELXSI.NS!A:A=A7)"),0.013137444944118866)</f>
        <v>0.01313744494</v>
      </c>
      <c r="E7" s="34"/>
      <c r="F7" s="34"/>
      <c r="G7" s="34"/>
      <c r="H7" s="34"/>
      <c r="I7" s="34"/>
      <c r="J7" s="34"/>
      <c r="K7" s="34"/>
      <c r="L7" s="34"/>
      <c r="M7" s="35" t="s">
        <v>33</v>
      </c>
      <c r="N7" s="48">
        <f>IFERROR(__xludf.DUMMYFUNCTION("SKEW(FILTER(B:B, ISNUMBER(B:B)))"),-0.4089107378364438)</f>
        <v>-0.4089107378</v>
      </c>
      <c r="O7" s="49">
        <f>IFERROR(__xludf.DUMMYFUNCTION("SKEW(FILTER(C:C, ISNUMBER(C:C)))"),-0.27176550743455113)</f>
        <v>-0.2717655074</v>
      </c>
      <c r="P7" s="50">
        <f>IFERROR(__xludf.DUMMYFUNCTION("SKEW(FILTER(D:D, ISNUMBER(D:D)))"),0.7559878610168965)</f>
        <v>0.755987861</v>
      </c>
      <c r="Q7" s="50">
        <f>IFERROR(__xludf.DUMMYFUNCTION("SKEW(FILTER('Returns Data'!F:F, ISNUMBER('Returns Data'!F:F)))"),-0.2229418361473336)</f>
        <v>-0.2229418361</v>
      </c>
      <c r="R7" s="34"/>
      <c r="S7" s="40" t="str">
        <f t="shared" si="1"/>
        <v>Return - TATAELXSI</v>
      </c>
      <c r="T7" s="41" t="str">
        <f t="shared" si="2"/>
        <v>Return - INFY</v>
      </c>
      <c r="U7" s="34"/>
      <c r="V7" s="34"/>
      <c r="W7" s="34"/>
      <c r="X7" s="34"/>
      <c r="Y7" s="34"/>
      <c r="Z7" s="34"/>
    </row>
    <row r="8">
      <c r="A8" s="31">
        <f>IFERROR(__xludf.DUMMYFUNCTION("""COMPUTED_VALUE"""),44355.0)</f>
        <v>44355</v>
      </c>
      <c r="B8" s="32">
        <f>IFERROR(__xludf.DUMMYFUNCTION("FILTER(INFY.NS!H:H,INFY.NS!A:A=A8)"),0.01676675896635686)</f>
        <v>0.01676675897</v>
      </c>
      <c r="C8" s="32">
        <f>IFERROR(__xludf.DUMMYFUNCTION("FILTER(IRCTC.NS!H:H,IRCTC.NS!A:A=A8)"),0.02389252008552774)</f>
        <v>0.02389252009</v>
      </c>
      <c r="D8" s="32">
        <f>IFERROR(__xludf.DUMMYFUNCTION("FILTER(TATAELXSI.NS!H:H,TATAELXSI.NS!A:A=A8)"),0.03571825325214502)</f>
        <v>0.03571825325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1">
        <f>IFERROR(__xludf.DUMMYFUNCTION("""COMPUTED_VALUE"""),44356.0)</f>
        <v>44356</v>
      </c>
      <c r="B9" s="32">
        <f>IFERROR(__xludf.DUMMYFUNCTION("FILTER(INFY.NS!H:H,INFY.NS!A:A=A9)"),0.0016632563654053229)</f>
        <v>0.001663256365</v>
      </c>
      <c r="C9" s="32">
        <f>IFERROR(__xludf.DUMMYFUNCTION("FILTER(IRCTC.NS!H:H,IRCTC.NS!A:A=A9)"),-0.034338091161764124)</f>
        <v>-0.03433809116</v>
      </c>
      <c r="D9" s="32">
        <f>IFERROR(__xludf.DUMMYFUNCTION("FILTER(TATAELXSI.NS!H:H,TATAELXSI.NS!A:A=A9)"),-0.008698453674797428)</f>
        <v>-0.008698453675</v>
      </c>
      <c r="E9" s="34"/>
      <c r="F9" s="34"/>
      <c r="G9" s="34"/>
      <c r="H9" s="34"/>
      <c r="I9" s="34"/>
      <c r="J9" s="34"/>
      <c r="K9" s="34"/>
      <c r="L9" s="34"/>
      <c r="M9" s="51" t="s">
        <v>34</v>
      </c>
      <c r="N9" s="21" t="s">
        <v>21</v>
      </c>
      <c r="O9" s="26" t="s">
        <v>22</v>
      </c>
      <c r="P9" s="27" t="s">
        <v>23</v>
      </c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1">
        <f>IFERROR(__xludf.DUMMYFUNCTION("""COMPUTED_VALUE"""),44357.0)</f>
        <v>44357</v>
      </c>
      <c r="B10" s="32">
        <f>IFERROR(__xludf.DUMMYFUNCTION("FILTER(INFY.NS!H:H,INFY.NS!A:A=A10)"),0.006359075594153393)</f>
        <v>0.006359075594</v>
      </c>
      <c r="C10" s="32">
        <f>IFERROR(__xludf.DUMMYFUNCTION("FILTER(IRCTC.NS!H:H,IRCTC.NS!A:A=A10)"),0.016970836157078974)</f>
        <v>0.01697083616</v>
      </c>
      <c r="D10" s="32">
        <f>IFERROR(__xludf.DUMMYFUNCTION("FILTER(TATAELXSI.NS!H:H,TATAELXSI.NS!A:A=A10)"),0.02353418223480252)</f>
        <v>0.02353418223</v>
      </c>
      <c r="E10" s="34"/>
      <c r="F10" s="34"/>
      <c r="G10" s="34"/>
      <c r="H10" s="34"/>
      <c r="I10" s="34"/>
      <c r="J10" s="34"/>
      <c r="K10" s="34"/>
      <c r="L10" s="34"/>
      <c r="M10" s="52" t="str">
        <f t="array" ref="M10:M12">TRANSPOSE(N9:P9)</f>
        <v>Return - INFY</v>
      </c>
      <c r="N10" s="53">
        <v>1.0</v>
      </c>
      <c r="O10" s="54">
        <f>CORREL(B:B,C:C)</f>
        <v>0.2093053874</v>
      </c>
      <c r="P10" s="55">
        <f>CORREL(B:B,D:D)</f>
        <v>0.2348285047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1">
        <f>IFERROR(__xludf.DUMMYFUNCTION("""COMPUTED_VALUE"""),44358.0)</f>
        <v>44358</v>
      </c>
      <c r="B11" s="32">
        <f>IFERROR(__xludf.DUMMYFUNCTION("FILTER(INFY.NS!H:H,INFY.NS!A:A=A11)"),0.01586742555816628)</f>
        <v>0.01586742556</v>
      </c>
      <c r="C11" s="32">
        <f>IFERROR(__xludf.DUMMYFUNCTION("FILTER(IRCTC.NS!H:H,IRCTC.NS!A:A=A11)"),-0.005981885882689853)</f>
        <v>-0.005981885883</v>
      </c>
      <c r="D11" s="32">
        <f>IFERROR(__xludf.DUMMYFUNCTION("FILTER(TATAELXSI.NS!H:H,TATAELXSI.NS!A:A=A11)"),0.006123577670655472)</f>
        <v>0.006123577671</v>
      </c>
      <c r="E11" s="34"/>
      <c r="F11" s="34"/>
      <c r="G11" s="34"/>
      <c r="H11" s="34"/>
      <c r="I11" s="34"/>
      <c r="J11" s="34"/>
      <c r="K11" s="34"/>
      <c r="L11" s="34"/>
      <c r="M11" s="56" t="s">
        <v>22</v>
      </c>
      <c r="N11" s="57">
        <f>CORREL(C:C,B:B)</f>
        <v>0.2093053874</v>
      </c>
      <c r="O11" s="58">
        <v>1.0</v>
      </c>
      <c r="P11" s="59">
        <f>CORREL(C:C,D:D)</f>
        <v>0.2793097637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1">
        <f>IFERROR(__xludf.DUMMYFUNCTION("""COMPUTED_VALUE"""),44361.0)</f>
        <v>44361</v>
      </c>
      <c r="B12" s="32">
        <f>IFERROR(__xludf.DUMMYFUNCTION("FILTER(INFY.NS!H:H,INFY.NS!A:A=A12)"),0.01029789532991252)</f>
        <v>0.01029789533</v>
      </c>
      <c r="C12" s="32">
        <f>IFERROR(__xludf.DUMMYFUNCTION("FILTER(IRCTC.NS!H:H,IRCTC.NS!A:A=A12)"),-0.014017898507462727)</f>
        <v>-0.01401789851</v>
      </c>
      <c r="D12" s="32">
        <f>IFERROR(__xludf.DUMMYFUNCTION("FILTER(TATAELXSI.NS!H:H,TATAELXSI.NS!A:A=A12)"),-0.0027355534262530432)</f>
        <v>-0.002735553426</v>
      </c>
      <c r="E12" s="34"/>
      <c r="F12" s="34"/>
      <c r="G12" s="34"/>
      <c r="H12" s="34"/>
      <c r="I12" s="34"/>
      <c r="J12" s="34"/>
      <c r="K12" s="34"/>
      <c r="L12" s="34"/>
      <c r="M12" s="60" t="s">
        <v>23</v>
      </c>
      <c r="N12" s="61">
        <f>CORREL(D:D,B:B)</f>
        <v>0.2348285047</v>
      </c>
      <c r="O12" s="62">
        <f>CORREL(D:D, C:C)</f>
        <v>0.2793097637</v>
      </c>
      <c r="P12" s="63">
        <v>1.0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1">
        <f>IFERROR(__xludf.DUMMYFUNCTION("""COMPUTED_VALUE"""),44362.0)</f>
        <v>44362</v>
      </c>
      <c r="B13" s="32">
        <f>IFERROR(__xludf.DUMMYFUNCTION("FILTER(INFY.NS!H:H,INFY.NS!A:A=A13)"),0.008277448757973113)</f>
        <v>0.008277448758</v>
      </c>
      <c r="C13" s="32">
        <f>IFERROR(__xludf.DUMMYFUNCTION("FILTER(IRCTC.NS!H:H,IRCTC.NS!A:A=A13)"),0.016251673412956878)</f>
        <v>0.01625167341</v>
      </c>
      <c r="D13" s="32">
        <f>IFERROR(__xludf.DUMMYFUNCTION("FILTER(TATAELXSI.NS!H:H,TATAELXSI.NS!A:A=A13)"),-0.003123726032621452)</f>
        <v>-0.003123726033</v>
      </c>
      <c r="E13" s="34"/>
      <c r="F13" s="34"/>
      <c r="G13" s="34"/>
      <c r="H13" s="34"/>
      <c r="I13" s="34"/>
      <c r="J13" s="34"/>
      <c r="K13" s="34"/>
      <c r="L13" s="34"/>
      <c r="M13" s="64"/>
      <c r="N13" s="64"/>
      <c r="O13" s="64"/>
      <c r="P13" s="6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1">
        <f>IFERROR(__xludf.DUMMYFUNCTION("""COMPUTED_VALUE"""),44363.0)</f>
        <v>44363</v>
      </c>
      <c r="B14" s="32">
        <f>IFERROR(__xludf.DUMMYFUNCTION("FILTER(INFY.NS!H:H,INFY.NS!A:A=A14)"),0.004545730301175393)</f>
        <v>0.004545730301</v>
      </c>
      <c r="C14" s="32">
        <f>IFERROR(__xludf.DUMMYFUNCTION("FILTER(IRCTC.NS!H:H,IRCTC.NS!A:A=A14)"),-0.0038132606002360637)</f>
        <v>-0.0038132606</v>
      </c>
      <c r="D14" s="32">
        <f>IFERROR(__xludf.DUMMYFUNCTION("FILTER(TATAELXSI.NS!H:H,TATAELXSI.NS!A:A=A14)"),-0.005858809354894188)</f>
        <v>-0.005858809355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1">
        <f>IFERROR(__xludf.DUMMYFUNCTION("""COMPUTED_VALUE"""),44364.0)</f>
        <v>44364</v>
      </c>
      <c r="B15" s="32">
        <f>IFERROR(__xludf.DUMMYFUNCTION("FILTER(INFY.NS!H:H,INFY.NS!A:A=A15)"),0.009928456867677252)</f>
        <v>0.009928456868</v>
      </c>
      <c r="C15" s="32">
        <f>IFERROR(__xludf.DUMMYFUNCTION("FILTER(IRCTC.NS!H:H,IRCTC.NS!A:A=A15)"),-0.01892390533084288)</f>
        <v>-0.01892390533</v>
      </c>
      <c r="D15" s="32">
        <f>IFERROR(__xludf.DUMMYFUNCTION("FILTER(TATAELXSI.NS!H:H,TATAELXSI.NS!A:A=A15)"),-0.010886080740949588)</f>
        <v>-0.01088608074</v>
      </c>
      <c r="E15" s="34"/>
      <c r="F15" s="34"/>
      <c r="G15" s="34"/>
      <c r="H15" s="34"/>
      <c r="I15" s="34"/>
      <c r="J15" s="34"/>
      <c r="K15" s="34"/>
      <c r="L15" s="34"/>
      <c r="M15" s="65" t="s">
        <v>21</v>
      </c>
      <c r="N15" s="66">
        <v>0.3</v>
      </c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1">
        <f>IFERROR(__xludf.DUMMYFUNCTION("""COMPUTED_VALUE"""),44365.0)</f>
        <v>44365</v>
      </c>
      <c r="B16" s="32">
        <f>IFERROR(__xludf.DUMMYFUNCTION("FILTER(INFY.NS!H:H,INFY.NS!A:A=A16)"),0.0053500967951884285)</f>
        <v>0.005350096795</v>
      </c>
      <c r="C16" s="32">
        <f>IFERROR(__xludf.DUMMYFUNCTION("FILTER(IRCTC.NS!H:H,IRCTC.NS!A:A=A16)"),-0.018874344628771245)</f>
        <v>-0.01887434463</v>
      </c>
      <c r="D16" s="32">
        <f>IFERROR(__xludf.DUMMYFUNCTION("FILTER(TATAELXSI.NS!H:H,TATAELXSI.NS!A:A=A16)"),-0.02527886901941989)</f>
        <v>-0.02527886902</v>
      </c>
      <c r="E16" s="34"/>
      <c r="F16" s="34"/>
      <c r="G16" s="34"/>
      <c r="H16" s="34"/>
      <c r="I16" s="34"/>
      <c r="J16" s="34"/>
      <c r="K16" s="34"/>
      <c r="L16" s="34"/>
      <c r="M16" s="67" t="s">
        <v>22</v>
      </c>
      <c r="N16" s="68">
        <v>0.3</v>
      </c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1">
        <f>IFERROR(__xludf.DUMMYFUNCTION("""COMPUTED_VALUE"""),44368.0)</f>
        <v>44368</v>
      </c>
      <c r="B17" s="32">
        <f>IFERROR(__xludf.DUMMYFUNCTION("FILTER(INFY.NS!H:H,INFY.NS!A:A=A17)"),-0.001995609593703938)</f>
        <v>-0.001995609594</v>
      </c>
      <c r="C17" s="32">
        <f>IFERROR(__xludf.DUMMYFUNCTION("FILTER(IRCTC.NS!H:H,IRCTC.NS!A:A=A17)"),0.03238554240081076)</f>
        <v>0.0323855424</v>
      </c>
      <c r="D17" s="32">
        <f>IFERROR(__xludf.DUMMYFUNCTION("FILTER(TATAELXSI.NS!H:H,TATAELXSI.NS!A:A=A17)"),-0.0042170505657043765)</f>
        <v>-0.004217050566</v>
      </c>
      <c r="E17" s="34"/>
      <c r="F17" s="34"/>
      <c r="G17" s="34"/>
      <c r="H17" s="34"/>
      <c r="I17" s="34"/>
      <c r="J17" s="34"/>
      <c r="K17" s="34"/>
      <c r="L17" s="34"/>
      <c r="M17" s="67" t="s">
        <v>23</v>
      </c>
      <c r="N17" s="69">
        <v>0.4</v>
      </c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1">
        <f>IFERROR(__xludf.DUMMYFUNCTION("""COMPUTED_VALUE"""),44369.0)</f>
        <v>44369</v>
      </c>
      <c r="B18" s="32">
        <f>IFERROR(__xludf.DUMMYFUNCTION("FILTER(INFY.NS!H:H,INFY.NS!A:A=A18)"),0.007698411399571997)</f>
        <v>0.0076984114</v>
      </c>
      <c r="C18" s="32">
        <f>IFERROR(__xludf.DUMMYFUNCTION("FILTER(IRCTC.NS!H:H,IRCTC.NS!A:A=A18)"),0.0029612418200789642)</f>
        <v>0.00296124182</v>
      </c>
      <c r="D18" s="32">
        <f>IFERROR(__xludf.DUMMYFUNCTION("FILTER(TATAELXSI.NS!H:H,TATAELXSI.NS!A:A=A18)"),0.01796056150743948)</f>
        <v>0.01796056151</v>
      </c>
      <c r="E18" s="34"/>
      <c r="F18" s="34"/>
      <c r="G18" s="34"/>
      <c r="H18" s="34"/>
      <c r="I18" s="34"/>
      <c r="J18" s="34"/>
      <c r="K18" s="34"/>
      <c r="L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1">
        <f>IFERROR(__xludf.DUMMYFUNCTION("""COMPUTED_VALUE"""),44370.0)</f>
        <v>44370</v>
      </c>
      <c r="B19" s="32">
        <f>IFERROR(__xludf.DUMMYFUNCTION("FILTER(INFY.NS!H:H,INFY.NS!A:A=A19)"),-0.005754507482956721)</f>
        <v>-0.005754507483</v>
      </c>
      <c r="C19" s="32">
        <f>IFERROR(__xludf.DUMMYFUNCTION("FILTER(IRCTC.NS!H:H,IRCTC.NS!A:A=A19)"),-0.002280393630143191)</f>
        <v>-0.00228039363</v>
      </c>
      <c r="D19" s="32">
        <f>IFERROR(__xludf.DUMMYFUNCTION("FILTER(TATAELXSI.NS!H:H,TATAELXSI.NS!A:A=A19)"),-0.007791961509555279)</f>
        <v>-0.00779196151</v>
      </c>
      <c r="E19" s="34"/>
      <c r="F19" s="34"/>
      <c r="G19" s="34"/>
      <c r="H19" s="34"/>
      <c r="I19" s="34"/>
      <c r="J19" s="34"/>
      <c r="K19" s="34"/>
      <c r="L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1">
        <f>IFERROR(__xludf.DUMMYFUNCTION("""COMPUTED_VALUE"""),44371.0)</f>
        <v>44371</v>
      </c>
      <c r="B20" s="32">
        <f>IFERROR(__xludf.DUMMYFUNCTION("FILTER(INFY.NS!H:H,INFY.NS!A:A=A20)"),0.037288311948295606)</f>
        <v>0.03728831195</v>
      </c>
      <c r="C20" s="32">
        <f>IFERROR(__xludf.DUMMYFUNCTION("FILTER(IRCTC.NS!H:H,IRCTC.NS!A:A=A20)"),-0.002550217768077262)</f>
        <v>-0.002550217768</v>
      </c>
      <c r="D20" s="32">
        <f>IFERROR(__xludf.DUMMYFUNCTION("FILTER(TATAELXSI.NS!H:H,TATAELXSI.NS!A:A=A20)"),0.021633715855188442)</f>
        <v>0.02163371586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1">
        <f>IFERROR(__xludf.DUMMYFUNCTION("""COMPUTED_VALUE"""),44372.0)</f>
        <v>44372</v>
      </c>
      <c r="B21" s="32">
        <f>IFERROR(__xludf.DUMMYFUNCTION("FILTER(INFY.NS!H:H,INFY.NS!A:A=A21)"),0.009620318414183942)</f>
        <v>0.009620318414</v>
      </c>
      <c r="C21" s="32">
        <f>IFERROR(__xludf.DUMMYFUNCTION("FILTER(IRCTC.NS!H:H,IRCTC.NS!A:A=A21)"),-0.0019778745457234223)</f>
        <v>-0.001977874546</v>
      </c>
      <c r="D21" s="32">
        <f>IFERROR(__xludf.DUMMYFUNCTION("FILTER(TATAELXSI.NS!H:H,TATAELXSI.NS!A:A=A21)"),0.007620015439691326)</f>
        <v>0.00762001544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1">
        <f>IFERROR(__xludf.DUMMYFUNCTION("""COMPUTED_VALUE"""),44375.0)</f>
        <v>44375</v>
      </c>
      <c r="B22" s="32">
        <f>IFERROR(__xludf.DUMMYFUNCTION("FILTER(INFY.NS!H:H,INFY.NS!A:A=A22)"),-0.0015245217092502063)</f>
        <v>-0.001524521709</v>
      </c>
      <c r="C22" s="32">
        <f>IFERROR(__xludf.DUMMYFUNCTION("FILTER(IRCTC.NS!H:H,IRCTC.NS!A:A=A22)"),0.004301904554029836)</f>
        <v>0.004301904554</v>
      </c>
      <c r="D22" s="32">
        <f>IFERROR(__xludf.DUMMYFUNCTION("FILTER(TATAELXSI.NS!H:H,TATAELXSI.NS!A:A=A22)"),0.015270733683555608)</f>
        <v>0.01527073368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1">
        <f>IFERROR(__xludf.DUMMYFUNCTION("""COMPUTED_VALUE"""),44376.0)</f>
        <v>44376</v>
      </c>
      <c r="B23" s="32">
        <f>IFERROR(__xludf.DUMMYFUNCTION("FILTER(INFY.NS!H:H,INFY.NS!A:A=A23)"),-0.005566865839943742)</f>
        <v>-0.00556686584</v>
      </c>
      <c r="C23" s="32">
        <f>IFERROR(__xludf.DUMMYFUNCTION("FILTER(IRCTC.NS!H:H,IRCTC.NS!A:A=A23)"),0.0019733053150756737)</f>
        <v>0.001973305315</v>
      </c>
      <c r="D23" s="32">
        <f>IFERROR(__xludf.DUMMYFUNCTION("FILTER(TATAELXSI.NS!H:H,TATAELXSI.NS!A:A=A23)"),0.04619465847669705)</f>
        <v>0.04619465848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1">
        <f>IFERROR(__xludf.DUMMYFUNCTION("""COMPUTED_VALUE"""),44377.0)</f>
        <v>44377</v>
      </c>
      <c r="B24" s="32">
        <f>IFERROR(__xludf.DUMMYFUNCTION("FILTER(INFY.NS!H:H,INFY.NS!A:A=A24)"),0.011356002331055236)</f>
        <v>0.01135600233</v>
      </c>
      <c r="C24" s="32">
        <f>IFERROR(__xludf.DUMMYFUNCTION("FILTER(IRCTC.NS!H:H,IRCTC.NS!A:A=A24)"),-0.023056430855446265)</f>
        <v>-0.02305643086</v>
      </c>
      <c r="D24" s="32">
        <f>IFERROR(__xludf.DUMMYFUNCTION("FILTER(TATAELXSI.NS!H:H,TATAELXSI.NS!A:A=A24)"),0.07528194398851218)</f>
        <v>0.07528194399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1">
        <f>IFERROR(__xludf.DUMMYFUNCTION("""COMPUTED_VALUE"""),44378.0)</f>
        <v>44378</v>
      </c>
      <c r="B25" s="32">
        <f>IFERROR(__xludf.DUMMYFUNCTION("FILTER(INFY.NS!H:H,INFY.NS!A:A=A25)"),-0.012904873714360516)</f>
        <v>-0.01290487371</v>
      </c>
      <c r="C25" s="32">
        <f>IFERROR(__xludf.DUMMYFUNCTION("FILTER(IRCTC.NS!H:H,IRCTC.NS!A:A=A25)"),4.670993562408378E-4)</f>
        <v>0.0004670993562</v>
      </c>
      <c r="D25" s="32">
        <f>IFERROR(__xludf.DUMMYFUNCTION("FILTER(TATAELXSI.NS!H:H,TATAELXSI.NS!A:A=A25)"),-0.014067283354580282)</f>
        <v>-0.01406728335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1">
        <f>IFERROR(__xludf.DUMMYFUNCTION("""COMPUTED_VALUE"""),44379.0)</f>
        <v>44379</v>
      </c>
      <c r="B26" s="32">
        <f>IFERROR(__xludf.DUMMYFUNCTION("FILTER(INFY.NS!H:H,INFY.NS!A:A=A26)"),0.004742389698912177)</f>
        <v>0.004742389699</v>
      </c>
      <c r="C26" s="32">
        <f>IFERROR(__xludf.DUMMYFUNCTION("FILTER(IRCTC.NS!H:H,IRCTC.NS!A:A=A26)"),0.01265479190557578)</f>
        <v>0.01265479191</v>
      </c>
      <c r="D26" s="32">
        <f>IFERROR(__xludf.DUMMYFUNCTION("FILTER(TATAELXSI.NS!H:H,TATAELXSI.NS!A:A=A26)"),0.043781986450662655)</f>
        <v>0.04378198645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1">
        <f>IFERROR(__xludf.DUMMYFUNCTION("""COMPUTED_VALUE"""),44382.0)</f>
        <v>44382</v>
      </c>
      <c r="B27" s="32">
        <f>IFERROR(__xludf.DUMMYFUNCTION("FILTER(INFY.NS!H:H,INFY.NS!A:A=A27)"),0.007111813784616173)</f>
        <v>0.007111813785</v>
      </c>
      <c r="C27" s="32">
        <f>IFERROR(__xludf.DUMMYFUNCTION("FILTER(IRCTC.NS!H:H,IRCTC.NS!A:A=A27)"),0.05486403344485825)</f>
        <v>0.05486403344</v>
      </c>
      <c r="D27" s="32">
        <f>IFERROR(__xludf.DUMMYFUNCTION("FILTER(TATAELXSI.NS!H:H,TATAELXSI.NS!A:A=A27)"),-0.01140070711994173)</f>
        <v>-0.01140070712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1">
        <f>IFERROR(__xludf.DUMMYFUNCTION("""COMPUTED_VALUE"""),44383.0)</f>
        <v>44383</v>
      </c>
      <c r="B28" s="32">
        <f>IFERROR(__xludf.DUMMYFUNCTION("FILTER(INFY.NS!H:H,INFY.NS!A:A=A28)"),-0.010608315982018102)</f>
        <v>-0.01060831598</v>
      </c>
      <c r="C28" s="32">
        <f>IFERROR(__xludf.DUMMYFUNCTION("FILTER(IRCTC.NS!H:H,IRCTC.NS!A:A=A28)"),-0.002162315968526255)</f>
        <v>-0.002162315969</v>
      </c>
      <c r="D28" s="32">
        <f>IFERROR(__xludf.DUMMYFUNCTION("FILTER(TATAELXSI.NS!H:H,TATAELXSI.NS!A:A=A28)"),-0.015254406315207383)</f>
        <v>-0.01525440632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1">
        <f>IFERROR(__xludf.DUMMYFUNCTION("""COMPUTED_VALUE"""),44384.0)</f>
        <v>44384</v>
      </c>
      <c r="B29" s="32">
        <f>IFERROR(__xludf.DUMMYFUNCTION("FILTER(INFY.NS!H:H,INFY.NS!A:A=A29)"),0.0015363110198944783)</f>
        <v>0.00153631102</v>
      </c>
      <c r="C29" s="32">
        <f>IFERROR(__xludf.DUMMYFUNCTION("FILTER(IRCTC.NS!H:H,IRCTC.NS!A:A=A29)"),0.009013792726759671)</f>
        <v>0.009013792727</v>
      </c>
      <c r="D29" s="32">
        <f>IFERROR(__xludf.DUMMYFUNCTION("FILTER(TATAELXSI.NS!H:H,TATAELXSI.NS!A:A=A29)"),-0.015224048234680296)</f>
        <v>-0.01522404823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1">
        <f>IFERROR(__xludf.DUMMYFUNCTION("""COMPUTED_VALUE"""),44385.0)</f>
        <v>44385</v>
      </c>
      <c r="B30" s="32">
        <f>IFERROR(__xludf.DUMMYFUNCTION("FILTER(INFY.NS!H:H,INFY.NS!A:A=A30)"),-0.0024606775271994313)</f>
        <v>-0.002460677527</v>
      </c>
      <c r="C30" s="32">
        <f>IFERROR(__xludf.DUMMYFUNCTION("FILTER(IRCTC.NS!H:H,IRCTC.NS!A:A=A30)"),0.0024903401837357542)</f>
        <v>0.002490340184</v>
      </c>
      <c r="D30" s="32">
        <f>IFERROR(__xludf.DUMMYFUNCTION("FILTER(TATAELXSI.NS!H:H,TATAELXSI.NS!A:A=A30)"),-0.011208989992351263)</f>
        <v>-0.01120898999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1">
        <f>IFERROR(__xludf.DUMMYFUNCTION("""COMPUTED_VALUE"""),44386.0)</f>
        <v>44386</v>
      </c>
      <c r="B31" s="32">
        <f>IFERROR(__xludf.DUMMYFUNCTION("FILTER(INFY.NS!H:H,INFY.NS!A:A=A31)"),0.0013775582252122571)</f>
        <v>0.001377558225</v>
      </c>
      <c r="C31" s="32">
        <f>IFERROR(__xludf.DUMMYFUNCTION("FILTER(IRCTC.NS!H:H,IRCTC.NS!A:A=A31)"),0.00699668856145841)</f>
        <v>0.006996688561</v>
      </c>
      <c r="D31" s="32">
        <f>IFERROR(__xludf.DUMMYFUNCTION("FILTER(TATAELXSI.NS!H:H,TATAELXSI.NS!A:A=A31)"),0.022957823767563734)</f>
        <v>0.02295782377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1">
        <f>IFERROR(__xludf.DUMMYFUNCTION("""COMPUTED_VALUE"""),44389.0)</f>
        <v>44389</v>
      </c>
      <c r="B32" s="32">
        <f>IFERROR(__xludf.DUMMYFUNCTION("FILTER(INFY.NS!H:H,INFY.NS!A:A=A32)"),-0.009629565403346658)</f>
        <v>-0.009629565403</v>
      </c>
      <c r="C32" s="32">
        <f>IFERROR(__xludf.DUMMYFUNCTION("FILTER(IRCTC.NS!H:H,IRCTC.NS!A:A=A32)"),0.02428421603325724)</f>
        <v>0.02428421603</v>
      </c>
      <c r="D32" s="32">
        <f>IFERROR(__xludf.DUMMYFUNCTION("FILTER(TATAELXSI.NS!H:H,TATAELXSI.NS!A:A=A32)"),0.009789610736923707)</f>
        <v>0.009789610737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1">
        <f>IFERROR(__xludf.DUMMYFUNCTION("""COMPUTED_VALUE"""),44390.0)</f>
        <v>44390</v>
      </c>
      <c r="B33" s="32">
        <f>IFERROR(__xludf.DUMMYFUNCTION("FILTER(INFY.NS!H:H,INFY.NS!A:A=A33)"),-0.0018735827405536067)</f>
        <v>-0.001873582741</v>
      </c>
      <c r="C33" s="32">
        <f>IFERROR(__xludf.DUMMYFUNCTION("FILTER(IRCTC.NS!H:H,IRCTC.NS!A:A=A33)"),0.005104132012801504)</f>
        <v>0.005104132013</v>
      </c>
      <c r="D33" s="32">
        <f>IFERROR(__xludf.DUMMYFUNCTION("FILTER(TATAELXSI.NS!H:H,TATAELXSI.NS!A:A=A33)"),-0.0068704634428661685)</f>
        <v>-0.006870463443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1">
        <f>IFERROR(__xludf.DUMMYFUNCTION("""COMPUTED_VALUE"""),44391.0)</f>
        <v>44391</v>
      </c>
      <c r="B34" s="32">
        <f>IFERROR(__xludf.DUMMYFUNCTION("FILTER(INFY.NS!H:H,INFY.NS!A:A=A34)"),0.020680328821862253)</f>
        <v>0.02068032882</v>
      </c>
      <c r="C34" s="32">
        <f>IFERROR(__xludf.DUMMYFUNCTION("FILTER(IRCTC.NS!H:H,IRCTC.NS!A:A=A34)"),-0.0035393522541927636)</f>
        <v>-0.003539352254</v>
      </c>
      <c r="D34" s="32">
        <f>IFERROR(__xludf.DUMMYFUNCTION("FILTER(TATAELXSI.NS!H:H,TATAELXSI.NS!A:A=A34)"),0.014892088368234234)</f>
        <v>0.01489208837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1">
        <f>IFERROR(__xludf.DUMMYFUNCTION("""COMPUTED_VALUE"""),44392.0)</f>
        <v>44392</v>
      </c>
      <c r="B35" s="32">
        <f>IFERROR(__xludf.DUMMYFUNCTION("FILTER(INFY.NS!H:H,INFY.NS!A:A=A35)"),0.0024732227412280856)</f>
        <v>0.002473222741</v>
      </c>
      <c r="C35" s="32">
        <f>IFERROR(__xludf.DUMMYFUNCTION("FILTER(IRCTC.NS!H:H,IRCTC.NS!A:A=A35)"),8.383449541969304E-4)</f>
        <v>0.0008383449542</v>
      </c>
      <c r="D35" s="32">
        <f>IFERROR(__xludf.DUMMYFUNCTION("FILTER(TATAELXSI.NS!H:H,TATAELXSI.NS!A:A=A35)"),0.026373644298197742)</f>
        <v>0.0263736443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1">
        <f>IFERROR(__xludf.DUMMYFUNCTION("""COMPUTED_VALUE"""),44393.0)</f>
        <v>44393</v>
      </c>
      <c r="B36" s="32">
        <f>IFERROR(__xludf.DUMMYFUNCTION("FILTER(INFY.NS!H:H,INFY.NS!A:A=A36)"),-0.01603624570737845)</f>
        <v>-0.01603624571</v>
      </c>
      <c r="C36" s="32">
        <f>IFERROR(__xludf.DUMMYFUNCTION("FILTER(IRCTC.NS!H:H,IRCTC.NS!A:A=A36)"),0.06980995177172375)</f>
        <v>0.06980995177</v>
      </c>
      <c r="D36" s="32">
        <f>IFERROR(__xludf.DUMMYFUNCTION("FILTER(TATAELXSI.NS!H:H,TATAELXSI.NS!A:A=A36)"),-0.041106770959313636)</f>
        <v>-0.04110677096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1">
        <f>IFERROR(__xludf.DUMMYFUNCTION("""COMPUTED_VALUE"""),44396.0)</f>
        <v>44396</v>
      </c>
      <c r="B37" s="32">
        <f>IFERROR(__xludf.DUMMYFUNCTION("FILTER(INFY.NS!H:H,INFY.NS!A:A=A37)"),-0.008839885842138549)</f>
        <v>-0.008839885842</v>
      </c>
      <c r="C37" s="32">
        <f>IFERROR(__xludf.DUMMYFUNCTION("FILTER(IRCTC.NS!H:H,IRCTC.NS!A:A=A37)"),-8.859806966760215E-4)</f>
        <v>-0.0008859806967</v>
      </c>
      <c r="D37" s="32">
        <f>IFERROR(__xludf.DUMMYFUNCTION("FILTER(TATAELXSI.NS!H:H,TATAELXSI.NS!A:A=A37)"),-0.018430456998869305)</f>
        <v>-0.018430457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1">
        <f>IFERROR(__xludf.DUMMYFUNCTION("""COMPUTED_VALUE"""),44397.0)</f>
        <v>44397</v>
      </c>
      <c r="B38" s="32">
        <f>IFERROR(__xludf.DUMMYFUNCTION("FILTER(INFY.NS!H:H,INFY.NS!A:A=A38)"),0.005416162849706083)</f>
        <v>0.00541616285</v>
      </c>
      <c r="C38" s="32">
        <f>IFERROR(__xludf.DUMMYFUNCTION("FILTER(IRCTC.NS!H:H,IRCTC.NS!A:A=A38)"),-0.01808618087959805)</f>
        <v>-0.01808618088</v>
      </c>
      <c r="D38" s="32">
        <f>IFERROR(__xludf.DUMMYFUNCTION("FILTER(TATAELXSI.NS!H:H,TATAELXSI.NS!A:A=A38)"),-0.007813702211338673)</f>
        <v>-0.007813702211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1">
        <f>IFERROR(__xludf.DUMMYFUNCTION("""COMPUTED_VALUE"""),44399.0)</f>
        <v>44399</v>
      </c>
      <c r="B39" s="32">
        <f>IFERROR(__xludf.DUMMYFUNCTION("FILTER(INFY.NS!H:H,INFY.NS!A:A=A39)"),0.02590232620288773)</f>
        <v>0.0259023262</v>
      </c>
      <c r="C39" s="32">
        <f>IFERROR(__xludf.DUMMYFUNCTION("FILTER(IRCTC.NS!H:H,IRCTC.NS!A:A=A39)"),-0.006510839408241049)</f>
        <v>-0.006510839408</v>
      </c>
      <c r="D39" s="32">
        <f>IFERROR(__xludf.DUMMYFUNCTION("FILTER(TATAELXSI.NS!H:H,TATAELXSI.NS!A:A=A39)"),0.013423699377015635)</f>
        <v>0.01342369938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1">
        <f>IFERROR(__xludf.DUMMYFUNCTION("""COMPUTED_VALUE"""),44400.0)</f>
        <v>44400</v>
      </c>
      <c r="B40" s="32">
        <f>IFERROR(__xludf.DUMMYFUNCTION("FILTER(INFY.NS!H:H,INFY.NS!A:A=A40)"),1.5721293403561423E-4)</f>
        <v>0.000157212934</v>
      </c>
      <c r="C40" s="32">
        <f>IFERROR(__xludf.DUMMYFUNCTION("FILTER(IRCTC.NS!H:H,IRCTC.NS!A:A=A40)"),-0.01682766847098)</f>
        <v>-0.01682766847</v>
      </c>
      <c r="D40" s="32">
        <f>IFERROR(__xludf.DUMMYFUNCTION("FILTER(TATAELXSI.NS!H:H,TATAELXSI.NS!A:A=A40)"),6.357337488103082E-4)</f>
        <v>0.0006357337488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1">
        <f>IFERROR(__xludf.DUMMYFUNCTION("""COMPUTED_VALUE"""),44403.0)</f>
        <v>44403</v>
      </c>
      <c r="B41" s="32">
        <f>IFERROR(__xludf.DUMMYFUNCTION("FILTER(INFY.NS!H:H,INFY.NS!A:A=A41)"),0.008456772243315926)</f>
        <v>0.008456772243</v>
      </c>
      <c r="C41" s="32">
        <f>IFERROR(__xludf.DUMMYFUNCTION("FILTER(IRCTC.NS!H:H,IRCTC.NS!A:A=A41)"),-0.005182021983197813)</f>
        <v>-0.005182021983</v>
      </c>
      <c r="D41" s="32">
        <f>IFERROR(__xludf.DUMMYFUNCTION("FILTER(TATAELXSI.NS!H:H,TATAELXSI.NS!A:A=A41)"),-0.01181364208308662)</f>
        <v>-0.01181364208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1">
        <f>IFERROR(__xludf.DUMMYFUNCTION("""COMPUTED_VALUE"""),44404.0)</f>
        <v>44404</v>
      </c>
      <c r="B42" s="32">
        <f>IFERROR(__xludf.DUMMYFUNCTION("FILTER(INFY.NS!H:H,INFY.NS!A:A=A42)"),-8.416827606457383E-4)</f>
        <v>-0.0008416827606</v>
      </c>
      <c r="C42" s="32">
        <f>IFERROR(__xludf.DUMMYFUNCTION("FILTER(IRCTC.NS!H:H,IRCTC.NS!A:A=A42)"),-0.007673062225625235)</f>
        <v>-0.007673062226</v>
      </c>
      <c r="D42" s="32">
        <f>IFERROR(__xludf.DUMMYFUNCTION("FILTER(TATAELXSI.NS!H:H,TATAELXSI.NS!A:A=A42)"),-0.005560738599949396)</f>
        <v>-0.0055607386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1">
        <f>IFERROR(__xludf.DUMMYFUNCTION("""COMPUTED_VALUE"""),44405.0)</f>
        <v>44405</v>
      </c>
      <c r="B43" s="32">
        <f>IFERROR(__xludf.DUMMYFUNCTION("FILTER(INFY.NS!H:H,INFY.NS!A:A=A43)"),0.0019031711377146669)</f>
        <v>0.001903171138</v>
      </c>
      <c r="C43" s="32">
        <f>IFERROR(__xludf.DUMMYFUNCTION("FILTER(IRCTC.NS!H:H,IRCTC.NS!A:A=A43)"),-0.005183886384000131)</f>
        <v>-0.005183886384</v>
      </c>
      <c r="D43" s="32">
        <f>IFERROR(__xludf.DUMMYFUNCTION("FILTER(TATAELXSI.NS!H:H,TATAELXSI.NS!A:A=A43)"),2.9934742261869123E-4)</f>
        <v>0.0002993474226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1">
        <f>IFERROR(__xludf.DUMMYFUNCTION("""COMPUTED_VALUE"""),44406.0)</f>
        <v>44406</v>
      </c>
      <c r="B44" s="32">
        <f>IFERROR(__xludf.DUMMYFUNCTION("FILTER(INFY.NS!H:H,INFY.NS!A:A=A44)"),0.007100164530645229)</f>
        <v>0.007100164531</v>
      </c>
      <c r="C44" s="32">
        <f>IFERROR(__xludf.DUMMYFUNCTION("FILTER(IRCTC.NS!H:H,IRCTC.NS!A:A=A44)"),0.016399163224682503)</f>
        <v>0.01639916322</v>
      </c>
      <c r="D44" s="32">
        <f>IFERROR(__xludf.DUMMYFUNCTION("FILTER(TATAELXSI.NS!H:H,TATAELXSI.NS!A:A=A44)"),0.023928703615034796)</f>
        <v>0.02392870362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1">
        <f>IFERROR(__xludf.DUMMYFUNCTION("""COMPUTED_VALUE"""),44407.0)</f>
        <v>44407</v>
      </c>
      <c r="B45" s="32">
        <f>IFERROR(__xludf.DUMMYFUNCTION("FILTER(INFY.NS!H:H,INFY.NS!A:A=A45)"),-0.004019789734075448)</f>
        <v>-0.004019789734</v>
      </c>
      <c r="C45" s="32">
        <f>IFERROR(__xludf.DUMMYFUNCTION("FILTER(IRCTC.NS!H:H,IRCTC.NS!A:A=A45)"),0.004394487517999031)</f>
        <v>0.004394487518</v>
      </c>
      <c r="D45" s="32">
        <f>IFERROR(__xludf.DUMMYFUNCTION("FILTER(TATAELXSI.NS!H:H,TATAELXSI.NS!A:A=A45)"),-0.011936143904523591)</f>
        <v>-0.0119361439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1">
        <f>IFERROR(__xludf.DUMMYFUNCTION("""COMPUTED_VALUE"""),44410.0)</f>
        <v>44410</v>
      </c>
      <c r="B46" s="32">
        <f>IFERROR(__xludf.DUMMYFUNCTION("FILTER(INFY.NS!H:H,INFY.NS!A:A=A46)"),0.013070505433095278)</f>
        <v>0.01307050543</v>
      </c>
      <c r="C46" s="32">
        <f>IFERROR(__xludf.DUMMYFUNCTION("FILTER(IRCTC.NS!H:H,IRCTC.NS!A:A=A46)"),0.05902283792255731)</f>
        <v>0.05902283792</v>
      </c>
      <c r="D46" s="32">
        <f>IFERROR(__xludf.DUMMYFUNCTION("FILTER(TATAELXSI.NS!H:H,TATAELXSI.NS!A:A=A46)"),-7.335945175921632E-4)</f>
        <v>-0.0007335945176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1">
        <f>IFERROR(__xludf.DUMMYFUNCTION("""COMPUTED_VALUE"""),44411.0)</f>
        <v>44411</v>
      </c>
      <c r="B47" s="32">
        <f>IFERROR(__xludf.DUMMYFUNCTION("FILTER(INFY.NS!H:H,INFY.NS!A:A=A47)"),0.014495357966184041)</f>
        <v>0.01449535797</v>
      </c>
      <c r="C47" s="32">
        <f>IFERROR(__xludf.DUMMYFUNCTION("FILTER(IRCTC.NS!H:H,IRCTC.NS!A:A=A47)"),-4.252744145677714E-4)</f>
        <v>-0.0004252744146</v>
      </c>
      <c r="D47" s="32">
        <f>IFERROR(__xludf.DUMMYFUNCTION("FILTER(TATAELXSI.NS!H:H,TATAELXSI.NS!A:A=A47)"),0.02323105558635415)</f>
        <v>0.02323105559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1">
        <f>IFERROR(__xludf.DUMMYFUNCTION("""COMPUTED_VALUE"""),44412.0)</f>
        <v>44412</v>
      </c>
      <c r="B48" s="32">
        <f>IFERROR(__xludf.DUMMYFUNCTION("FILTER(INFY.NS!H:H,INFY.NS!A:A=A48)"),-0.003594702257213911)</f>
        <v>-0.003594702257</v>
      </c>
      <c r="C48" s="32">
        <f>IFERROR(__xludf.DUMMYFUNCTION("FILTER(IRCTC.NS!H:H,IRCTC.NS!A:A=A48)"),0.00944142458802205)</f>
        <v>0.009441424588</v>
      </c>
      <c r="D48" s="32">
        <f>IFERROR(__xludf.DUMMYFUNCTION("FILTER(TATAELXSI.NS!H:H,TATAELXSI.NS!A:A=A48)"),-0.016096138669587774)</f>
        <v>-0.01609613867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1">
        <f>IFERROR(__xludf.DUMMYFUNCTION("""COMPUTED_VALUE"""),44413.0)</f>
        <v>44413</v>
      </c>
      <c r="B49" s="32">
        <f>IFERROR(__xludf.DUMMYFUNCTION("FILTER(INFY.NS!H:H,INFY.NS!A:A=A49)"),0.002607275428224917)</f>
        <v>0.002607275428</v>
      </c>
      <c r="C49" s="32">
        <f>IFERROR(__xludf.DUMMYFUNCTION("FILTER(IRCTC.NS!H:H,IRCTC.NS!A:A=A49)"),-0.007325981814451506)</f>
        <v>-0.007325981814</v>
      </c>
      <c r="D49" s="32">
        <f>IFERROR(__xludf.DUMMYFUNCTION("FILTER(TATAELXSI.NS!H:H,TATAELXSI.NS!A:A=A49)"),0.0031048271009742096)</f>
        <v>0.003104827101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1">
        <f>IFERROR(__xludf.DUMMYFUNCTION("""COMPUTED_VALUE"""),44414.0)</f>
        <v>44414</v>
      </c>
      <c r="B50" s="32">
        <f>IFERROR(__xludf.DUMMYFUNCTION("FILTER(INFY.NS!H:H,INFY.NS!A:A=A50)"),-0.0020260033870918466)</f>
        <v>-0.002026003387</v>
      </c>
      <c r="C50" s="32">
        <f>IFERROR(__xludf.DUMMYFUNCTION("FILTER(IRCTC.NS!H:H,IRCTC.NS!A:A=A50)"),0.005944441904803545)</f>
        <v>0.005944441905</v>
      </c>
      <c r="D50" s="32">
        <f>IFERROR(__xludf.DUMMYFUNCTION("FILTER(TATAELXSI.NS!H:H,TATAELXSI.NS!A:A=A50)"),-0.008230554596606312)</f>
        <v>-0.008230554597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1">
        <f>IFERROR(__xludf.DUMMYFUNCTION("""COMPUTED_VALUE"""),44417.0)</f>
        <v>44417</v>
      </c>
      <c r="B51" s="32">
        <f>IFERROR(__xludf.DUMMYFUNCTION("FILTER(INFY.NS!H:H,INFY.NS!A:A=A51)"),0.007938491327709346)</f>
        <v>0.007938491328</v>
      </c>
      <c r="C51" s="32">
        <f>IFERROR(__xludf.DUMMYFUNCTION("FILTER(IRCTC.NS!H:H,IRCTC.NS!A:A=A51)"),0.06456027237128746)</f>
        <v>0.06456027237</v>
      </c>
      <c r="D51" s="32">
        <f>IFERROR(__xludf.DUMMYFUNCTION("FILTER(TATAELXSI.NS!H:H,TATAELXSI.NS!A:A=A51)"),0.009185498873098634)</f>
        <v>0.009185498873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1">
        <f>IFERROR(__xludf.DUMMYFUNCTION("""COMPUTED_VALUE"""),44418.0)</f>
        <v>44418</v>
      </c>
      <c r="B52" s="32">
        <f>IFERROR(__xludf.DUMMYFUNCTION("FILTER(INFY.NS!H:H,INFY.NS!A:A=A52)"),0.008386911915494122)</f>
        <v>0.008386911915</v>
      </c>
      <c r="C52" s="32">
        <f>IFERROR(__xludf.DUMMYFUNCTION("FILTER(IRCTC.NS!H:H,IRCTC.NS!A:A=A52)"),-0.003247549186781038)</f>
        <v>-0.003247549187</v>
      </c>
      <c r="D52" s="32">
        <f>IFERROR(__xludf.DUMMYFUNCTION("FILTER(TATAELXSI.NS!H:H,TATAELXSI.NS!A:A=A52)"),-0.006958205458109746)</f>
        <v>-0.006958205458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1">
        <f>IFERROR(__xludf.DUMMYFUNCTION("""COMPUTED_VALUE"""),44419.0)</f>
        <v>44419</v>
      </c>
      <c r="B53" s="32">
        <f>IFERROR(__xludf.DUMMYFUNCTION("FILTER(INFY.NS!H:H,INFY.NS!A:A=A53)"),1.7889342674016665E-4)</f>
        <v>0.0001788934267</v>
      </c>
      <c r="C53" s="32">
        <f>IFERROR(__xludf.DUMMYFUNCTION("FILTER(IRCTC.NS!H:H,IRCTC.NS!A:A=A53)"),-0.025515175469309686)</f>
        <v>-0.02551517547</v>
      </c>
      <c r="D53" s="32">
        <f>IFERROR(__xludf.DUMMYFUNCTION("FILTER(TATAELXSI.NS!H:H,TATAELXSI.NS!A:A=A53)"),-0.010215706129113631)</f>
        <v>-0.01021570613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1">
        <f>IFERROR(__xludf.DUMMYFUNCTION("""COMPUTED_VALUE"""),44420.0)</f>
        <v>44420</v>
      </c>
      <c r="B54" s="32">
        <f>IFERROR(__xludf.DUMMYFUNCTION("FILTER(INFY.NS!H:H,INFY.NS!A:A=A54)"),0.007183050667956569)</f>
        <v>0.007183050668</v>
      </c>
      <c r="C54" s="32">
        <f>IFERROR(__xludf.DUMMYFUNCTION("FILTER(IRCTC.NS!H:H,IRCTC.NS!A:A=A54)"),0.04569930887668045)</f>
        <v>0.04569930888</v>
      </c>
      <c r="D54" s="32">
        <f>IFERROR(__xludf.DUMMYFUNCTION("FILTER(TATAELXSI.NS!H:H,TATAELXSI.NS!A:A=A54)"),0.02343105321885339)</f>
        <v>0.02343105322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1">
        <f>IFERROR(__xludf.DUMMYFUNCTION("""COMPUTED_VALUE"""),44421.0)</f>
        <v>44421</v>
      </c>
      <c r="B55" s="32">
        <f>IFERROR(__xludf.DUMMYFUNCTION("FILTER(INFY.NS!H:H,INFY.NS!A:A=A55)"),0.013375932363294546)</f>
        <v>0.01337593236</v>
      </c>
      <c r="C55" s="32">
        <f>IFERROR(__xludf.DUMMYFUNCTION("FILTER(IRCTC.NS!H:H,IRCTC.NS!A:A=A55)"),-0.010818660796322209)</f>
        <v>-0.0108186608</v>
      </c>
      <c r="D55" s="32">
        <f>IFERROR(__xludf.DUMMYFUNCTION("FILTER(TATAELXSI.NS!H:H,TATAELXSI.NS!A:A=A55)"),0.008268119803829946)</f>
        <v>0.008268119804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1">
        <f>IFERROR(__xludf.DUMMYFUNCTION("""COMPUTED_VALUE"""),44424.0)</f>
        <v>44424</v>
      </c>
      <c r="B56" s="32">
        <f>IFERROR(__xludf.DUMMYFUNCTION("FILTER(INFY.NS!H:H,INFY.NS!A:A=A56)"),-0.004555500071965616)</f>
        <v>-0.004555500072</v>
      </c>
      <c r="C56" s="32">
        <f>IFERROR(__xludf.DUMMYFUNCTION("FILTER(IRCTC.NS!H:H,IRCTC.NS!A:A=A56)"),-0.011688713166965929)</f>
        <v>-0.01168871317</v>
      </c>
      <c r="D56" s="32">
        <f>IFERROR(__xludf.DUMMYFUNCTION("FILTER(TATAELXSI.NS!H:H,TATAELXSI.NS!A:A=A56)"),0.01726686801132959)</f>
        <v>0.01726686801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1">
        <f>IFERROR(__xludf.DUMMYFUNCTION("""COMPUTED_VALUE"""),44425.0)</f>
        <v>44425</v>
      </c>
      <c r="B57" s="32">
        <f>IFERROR(__xludf.DUMMYFUNCTION("FILTER(INFY.NS!H:H,INFY.NS!A:A=A57)"),0.021855198002508357)</f>
        <v>0.021855198</v>
      </c>
      <c r="C57" s="32">
        <f>IFERROR(__xludf.DUMMYFUNCTION("FILTER(IRCTC.NS!H:H,IRCTC.NS!A:A=A57)"),0.015211439493828855)</f>
        <v>0.01521143949</v>
      </c>
      <c r="D57" s="32">
        <f>IFERROR(__xludf.DUMMYFUNCTION("FILTER(TATAELXSI.NS!H:H,TATAELXSI.NS!A:A=A57)"),0.07071083144756035)</f>
        <v>0.07071083145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1">
        <f>IFERROR(__xludf.DUMMYFUNCTION("""COMPUTED_VALUE"""),44426.0)</f>
        <v>44426</v>
      </c>
      <c r="B58" s="32">
        <f>IFERROR(__xludf.DUMMYFUNCTION("FILTER(INFY.NS!H:H,INFY.NS!A:A=A58)"),-0.004708220875033832)</f>
        <v>-0.004708220875</v>
      </c>
      <c r="C58" s="32">
        <f>IFERROR(__xludf.DUMMYFUNCTION("FILTER(IRCTC.NS!H:H,IRCTC.NS!A:A=A58)"),0.018523402972163993)</f>
        <v>0.01852340297</v>
      </c>
      <c r="D58" s="32">
        <f>IFERROR(__xludf.DUMMYFUNCTION("FILTER(TATAELXSI.NS!H:H,TATAELXSI.NS!A:A=A58)"),0.0014739822915010548)</f>
        <v>0.001473982292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1">
        <f>IFERROR(__xludf.DUMMYFUNCTION("""COMPUTED_VALUE"""),44428.0)</f>
        <v>44428</v>
      </c>
      <c r="B59" s="32">
        <f>IFERROR(__xludf.DUMMYFUNCTION("FILTER(INFY.NS!H:H,INFY.NS!A:A=A59)"),-2.8844213224129016E-4)</f>
        <v>-0.0002884421322</v>
      </c>
      <c r="C59" s="32">
        <f>IFERROR(__xludf.DUMMYFUNCTION("FILTER(IRCTC.NS!H:H,IRCTC.NS!A:A=A59)"),-0.026755646371915336)</f>
        <v>-0.02675564637</v>
      </c>
      <c r="D59" s="32">
        <f>IFERROR(__xludf.DUMMYFUNCTION("FILTER(TATAELXSI.NS!H:H,TATAELXSI.NS!A:A=A59)"),0.002202342673021625)</f>
        <v>0.002202342673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1">
        <f>IFERROR(__xludf.DUMMYFUNCTION("""COMPUTED_VALUE"""),44431.0)</f>
        <v>44431</v>
      </c>
      <c r="B60" s="32">
        <f>IFERROR(__xludf.DUMMYFUNCTION("FILTER(INFY.NS!H:H,INFY.NS!A:A=A60)"),0.0033469223947598845)</f>
        <v>0.003346922395</v>
      </c>
      <c r="C60" s="32">
        <f>IFERROR(__xludf.DUMMYFUNCTION("FILTER(IRCTC.NS!H:H,IRCTC.NS!A:A=A60)"),-0.03484110390278682)</f>
        <v>-0.0348411039</v>
      </c>
      <c r="D60" s="32">
        <f>IFERROR(__xludf.DUMMYFUNCTION("FILTER(TATAELXSI.NS!H:H,TATAELXSI.NS!A:A=A60)"),-0.009994567895138525)</f>
        <v>-0.009994567895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1">
        <f>IFERROR(__xludf.DUMMYFUNCTION("""COMPUTED_VALUE"""),44432.0)</f>
        <v>44432</v>
      </c>
      <c r="B61" s="32">
        <f>IFERROR(__xludf.DUMMYFUNCTION("FILTER(INFY.NS!H:H,INFY.NS!A:A=A61)"),-0.010294765780014396)</f>
        <v>-0.01029476578</v>
      </c>
      <c r="C61" s="32">
        <f>IFERROR(__xludf.DUMMYFUNCTION("FILTER(IRCTC.NS!H:H,IRCTC.NS!A:A=A61)"),0.004189371932724642)</f>
        <v>0.004189371933</v>
      </c>
      <c r="D61" s="32">
        <f>IFERROR(__xludf.DUMMYFUNCTION("FILTER(TATAELXSI.NS!H:H,TATAELXSI.NS!A:A=A61)"),0.012934091631730803)</f>
        <v>0.01293409163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1">
        <f>IFERROR(__xludf.DUMMYFUNCTION("""COMPUTED_VALUE"""),44433.0)</f>
        <v>44433</v>
      </c>
      <c r="B62" s="32">
        <f>IFERROR(__xludf.DUMMYFUNCTION("FILTER(INFY.NS!H:H,INFY.NS!A:A=A62)"),0.008542332687344022)</f>
        <v>0.008542332687</v>
      </c>
      <c r="C62" s="32">
        <f>IFERROR(__xludf.DUMMYFUNCTION("FILTER(IRCTC.NS!H:H,IRCTC.NS!A:A=A62)"),0.02795532865132325)</f>
        <v>0.02795532865</v>
      </c>
      <c r="D62" s="32">
        <f>IFERROR(__xludf.DUMMYFUNCTION("FILTER(TATAELXSI.NS!H:H,TATAELXSI.NS!A:A=A62)"),0.01351691024350634)</f>
        <v>0.01351691024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1">
        <f>IFERROR(__xludf.DUMMYFUNCTION("""COMPUTED_VALUE"""),44434.0)</f>
        <v>44434</v>
      </c>
      <c r="B63" s="32">
        <f>IFERROR(__xludf.DUMMYFUNCTION("FILTER(INFY.NS!H:H,INFY.NS!A:A=A63)"),-0.004523118192139148)</f>
        <v>-0.004523118192</v>
      </c>
      <c r="C63" s="32">
        <f>IFERROR(__xludf.DUMMYFUNCTION("FILTER(IRCTC.NS!H:H,IRCTC.NS!A:A=A63)"),-0.0056134289159134616)</f>
        <v>-0.005613428916</v>
      </c>
      <c r="D63" s="32">
        <f>IFERROR(__xludf.DUMMYFUNCTION("FILTER(TATAELXSI.NS!H:H,TATAELXSI.NS!A:A=A63)"),0.01071720566103374)</f>
        <v>0.01071720566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1">
        <f>IFERROR(__xludf.DUMMYFUNCTION("""COMPUTED_VALUE"""),44435.0)</f>
        <v>44435</v>
      </c>
      <c r="B64" s="32">
        <f>IFERROR(__xludf.DUMMYFUNCTION("FILTER(INFY.NS!H:H,INFY.NS!A:A=A64)"),-0.010939342788694743)</f>
        <v>-0.01093934279</v>
      </c>
      <c r="C64" s="32">
        <f>IFERROR(__xludf.DUMMYFUNCTION("FILTER(IRCTC.NS!H:H,IRCTC.NS!A:A=A64)"),0.010298590078838423)</f>
        <v>0.01029859008</v>
      </c>
      <c r="D64" s="32">
        <f>IFERROR(__xludf.DUMMYFUNCTION("FILTER(TATAELXSI.NS!H:H,TATAELXSI.NS!A:A=A64)"),0.0014500995264708056)</f>
        <v>0.001450099526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1">
        <f>IFERROR(__xludf.DUMMYFUNCTION("""COMPUTED_VALUE"""),44438.0)</f>
        <v>44438</v>
      </c>
      <c r="B65" s="32">
        <f>IFERROR(__xludf.DUMMYFUNCTION("FILTER(INFY.NS!H:H,INFY.NS!A:A=A65)"),-0.006290964239081667)</f>
        <v>-0.006290964239</v>
      </c>
      <c r="C65" s="32">
        <f>IFERROR(__xludf.DUMMYFUNCTION("FILTER(IRCTC.NS!H:H,IRCTC.NS!A:A=A65)"),0.018518515092658852)</f>
        <v>0.01851851509</v>
      </c>
      <c r="D65" s="32">
        <f>IFERROR(__xludf.DUMMYFUNCTION("FILTER(TATAELXSI.NS!H:H,TATAELXSI.NS!A:A=A65)"),-0.008606061812493026)</f>
        <v>-0.008606061812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1">
        <f>IFERROR(__xludf.DUMMYFUNCTION("""COMPUTED_VALUE"""),44439.0)</f>
        <v>44439</v>
      </c>
      <c r="B66" s="32">
        <f>IFERROR(__xludf.DUMMYFUNCTION("FILTER(INFY.NS!H:H,INFY.NS!A:A=A66)"),0.00494679294343939)</f>
        <v>0.004946792943</v>
      </c>
      <c r="C66" s="32">
        <f>IFERROR(__xludf.DUMMYFUNCTION("FILTER(IRCTC.NS!H:H,IRCTC.NS!A:A=A66)"),0.020109417554097037)</f>
        <v>0.02010941755</v>
      </c>
      <c r="D66" s="32">
        <f>IFERROR(__xludf.DUMMYFUNCTION("FILTER(TATAELXSI.NS!H:H,TATAELXSI.NS!A:A=A66)"),-0.01156053348526434)</f>
        <v>-0.01156053349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1">
        <f>IFERROR(__xludf.DUMMYFUNCTION("""COMPUTED_VALUE"""),44440.0)</f>
        <v>44440</v>
      </c>
      <c r="B67" s="32">
        <f>IFERROR(__xludf.DUMMYFUNCTION("FILTER(INFY.NS!H:H,INFY.NS!A:A=A67)"),-0.01681851318474447)</f>
        <v>-0.01681851318</v>
      </c>
      <c r="C67" s="32">
        <f>IFERROR(__xludf.DUMMYFUNCTION("FILTER(IRCTC.NS!H:H,IRCTC.NS!A:A=A67)"),-0.0020894330484259394)</f>
        <v>-0.002089433048</v>
      </c>
      <c r="D67" s="32">
        <f>IFERROR(__xludf.DUMMYFUNCTION("FILTER(TATAELXSI.NS!H:H,TATAELXSI.NS!A:A=A67)"),0.01625458280433792)</f>
        <v>0.0162545828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1">
        <f>IFERROR(__xludf.DUMMYFUNCTION("""COMPUTED_VALUE"""),44441.0)</f>
        <v>44441</v>
      </c>
      <c r="B68" s="32">
        <f>IFERROR(__xludf.DUMMYFUNCTION("FILTER(INFY.NS!H:H,INFY.NS!A:A=A68)"),0.006764998360899997)</f>
        <v>0.006764998361</v>
      </c>
      <c r="C68" s="32">
        <f>IFERROR(__xludf.DUMMYFUNCTION("FILTER(IRCTC.NS!H:H,IRCTC.NS!A:A=A68)"),0.03047790623577612)</f>
        <v>0.03047790624</v>
      </c>
      <c r="D68" s="32">
        <f>IFERROR(__xludf.DUMMYFUNCTION("FILTER(TATAELXSI.NS!H:H,TATAELXSI.NS!A:A=A68)"),0.01534493183458804)</f>
        <v>0.01534493183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1">
        <f>IFERROR(__xludf.DUMMYFUNCTION("""COMPUTED_VALUE"""),44442.0)</f>
        <v>44442</v>
      </c>
      <c r="B69" s="32">
        <f>IFERROR(__xludf.DUMMYFUNCTION("FILTER(INFY.NS!H:H,INFY.NS!A:A=A69)"),0.006837989559002907)</f>
        <v>0.006837989559</v>
      </c>
      <c r="C69" s="32">
        <f>IFERROR(__xludf.DUMMYFUNCTION("FILTER(IRCTC.NS!H:H,IRCTC.NS!A:A=A69)"),0.01411683976955126)</f>
        <v>0.01411683977</v>
      </c>
      <c r="D69" s="32">
        <f>IFERROR(__xludf.DUMMYFUNCTION("FILTER(TATAELXSI.NS!H:H,TATAELXSI.NS!A:A=A69)"),-0.007495562114722054)</f>
        <v>-0.007495562115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1">
        <f>IFERROR(__xludf.DUMMYFUNCTION("""COMPUTED_VALUE"""),44445.0)</f>
        <v>44445</v>
      </c>
      <c r="B70" s="32">
        <f>IFERROR(__xludf.DUMMYFUNCTION("FILTER(INFY.NS!H:H,INFY.NS!A:A=A70)"),0.01749331113407258)</f>
        <v>0.01749331113</v>
      </c>
      <c r="C70" s="32">
        <f>IFERROR(__xludf.DUMMYFUNCTION("FILTER(IRCTC.NS!H:H,IRCTC.NS!A:A=A70)"),0.04825954556812245)</f>
        <v>0.04825954557</v>
      </c>
      <c r="D70" s="32">
        <f>IFERROR(__xludf.DUMMYFUNCTION("FILTER(TATAELXSI.NS!H:H,TATAELXSI.NS!A:A=A70)"),-0.001985303929594832)</f>
        <v>-0.00198530393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1">
        <f>IFERROR(__xludf.DUMMYFUNCTION("""COMPUTED_VALUE"""),44446.0)</f>
        <v>44446</v>
      </c>
      <c r="B71" s="32">
        <f>IFERROR(__xludf.DUMMYFUNCTION("FILTER(INFY.NS!H:H,INFY.NS!A:A=A71)"),-0.013725150063913776)</f>
        <v>-0.01372515006</v>
      </c>
      <c r="C71" s="32">
        <f>IFERROR(__xludf.DUMMYFUNCTION("FILTER(IRCTC.NS!H:H,IRCTC.NS!A:A=A71)"),0.09257414680231858)</f>
        <v>0.0925741468</v>
      </c>
      <c r="D71" s="32">
        <f>IFERROR(__xludf.DUMMYFUNCTION("FILTER(TATAELXSI.NS!H:H,TATAELXSI.NS!A:A=A71)"),0.008859216358211665)</f>
        <v>0.008859216358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1">
        <f>IFERROR(__xludf.DUMMYFUNCTION("""COMPUTED_VALUE"""),44447.0)</f>
        <v>44447</v>
      </c>
      <c r="B72" s="32">
        <f>IFERROR(__xludf.DUMMYFUNCTION("FILTER(INFY.NS!H:H,INFY.NS!A:A=A72)"),-0.007851653128386227)</f>
        <v>-0.007851653128</v>
      </c>
      <c r="C72" s="32">
        <f>IFERROR(__xludf.DUMMYFUNCTION("FILTER(IRCTC.NS!H:H,IRCTC.NS!A:A=A72)"),0.0028902978270536695)</f>
        <v>0.002890297827</v>
      </c>
      <c r="D72" s="32">
        <f>IFERROR(__xludf.DUMMYFUNCTION("FILTER(TATAELXSI.NS!H:H,TATAELXSI.NS!A:A=A72)"),-0.011159650777518062)</f>
        <v>-0.01115965078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1">
        <f>IFERROR(__xludf.DUMMYFUNCTION("""COMPUTED_VALUE"""),44448.0)</f>
        <v>44448</v>
      </c>
      <c r="B73" s="32">
        <f>IFERROR(__xludf.DUMMYFUNCTION("FILTER(INFY.NS!H:H,INFY.NS!A:A=A73)"),-9.744715783257229E-4)</f>
        <v>-0.0009744715783</v>
      </c>
      <c r="C73" s="32">
        <f>IFERROR(__xludf.DUMMYFUNCTION("FILTER(IRCTC.NS!H:H,IRCTC.NS!A:A=A73)"),-4.247497082912748E-4)</f>
        <v>-0.0004247497083</v>
      </c>
      <c r="D73" s="32">
        <f>IFERROR(__xludf.DUMMYFUNCTION("FILTER(TATAELXSI.NS!H:H,TATAELXSI.NS!A:A=A73)"),0.013187086442393135)</f>
        <v>0.01318708644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1">
        <f>IFERROR(__xludf.DUMMYFUNCTION("""COMPUTED_VALUE"""),44452.0)</f>
        <v>44452</v>
      </c>
      <c r="B74" s="32">
        <f>IFERROR(__xludf.DUMMYFUNCTION("FILTER(INFY.NS!H:H,INFY.NS!A:A=A74)"),1.7737526853692784E-4)</f>
        <v>0.0001773752685</v>
      </c>
      <c r="C74" s="32">
        <f>IFERROR(__xludf.DUMMYFUNCTION("FILTER(IRCTC.NS!H:H,IRCTC.NS!A:A=A74)"),0.04271627314112296)</f>
        <v>0.04271627314</v>
      </c>
      <c r="D74" s="32">
        <f>IFERROR(__xludf.DUMMYFUNCTION("FILTER(TATAELXSI.NS!H:H,TATAELXSI.NS!A:A=A74)"),0.016342846563530238)</f>
        <v>0.01634284656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1">
        <f>IFERROR(__xludf.DUMMYFUNCTION("""COMPUTED_VALUE"""),44453.0)</f>
        <v>44453</v>
      </c>
      <c r="B75" s="32">
        <f>IFERROR(__xludf.DUMMYFUNCTION("FILTER(INFY.NS!H:H,INFY.NS!A:A=A75)"),-0.0033985459651485884)</f>
        <v>-0.003398545965</v>
      </c>
      <c r="C75" s="32">
        <f>IFERROR(__xludf.DUMMYFUNCTION("FILTER(IRCTC.NS!H:H,IRCTC.NS!A:A=A75)"),0.08810299917853166)</f>
        <v>0.08810299918</v>
      </c>
      <c r="D75" s="32">
        <f>IFERROR(__xludf.DUMMYFUNCTION("FILTER(TATAELXSI.NS!H:H,TATAELXSI.NS!A:A=A75)"),-0.004451681046868316)</f>
        <v>-0.004451681047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1">
        <f>IFERROR(__xludf.DUMMYFUNCTION("""COMPUTED_VALUE"""),44454.0)</f>
        <v>44454</v>
      </c>
      <c r="B76" s="32">
        <f>IFERROR(__xludf.DUMMYFUNCTION("FILTER(INFY.NS!H:H,INFY.NS!A:A=A76)"),0.01500455276214498)</f>
        <v>0.01500455276</v>
      </c>
      <c r="C76" s="32">
        <f>IFERROR(__xludf.DUMMYFUNCTION("FILTER(IRCTC.NS!H:H,IRCTC.NS!A:A=A76)"),-0.015032954794011053)</f>
        <v>-0.01503295479</v>
      </c>
      <c r="D76" s="32">
        <f>IFERROR(__xludf.DUMMYFUNCTION("FILTER(TATAELXSI.NS!H:H,TATAELXSI.NS!A:A=A76)"),0.02534587968718671)</f>
        <v>0.02534587969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1">
        <f>IFERROR(__xludf.DUMMYFUNCTION("""COMPUTED_VALUE"""),44455.0)</f>
        <v>44455</v>
      </c>
      <c r="B77" s="32">
        <f>IFERROR(__xludf.DUMMYFUNCTION("FILTER(INFY.NS!H:H,INFY.NS!A:A=A77)"),-0.005375530259955615)</f>
        <v>-0.00537553026</v>
      </c>
      <c r="C77" s="32">
        <f>IFERROR(__xludf.DUMMYFUNCTION("FILTER(IRCTC.NS!H:H,IRCTC.NS!A:A=A77)"),0.02374905250188255)</f>
        <v>0.0237490525</v>
      </c>
      <c r="D77" s="32">
        <f>IFERROR(__xludf.DUMMYFUNCTION("FILTER(TATAELXSI.NS!H:H,TATAELXSI.NS!A:A=A77)"),0.007861735199759422)</f>
        <v>0.0078617352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1">
        <f>IFERROR(__xludf.DUMMYFUNCTION("""COMPUTED_VALUE"""),44456.0)</f>
        <v>44456</v>
      </c>
      <c r="B78" s="32">
        <f>IFERROR(__xludf.DUMMYFUNCTION("FILTER(INFY.NS!H:H,INFY.NS!A:A=A78)"),-0.0064326338669408465)</f>
        <v>-0.006432633867</v>
      </c>
      <c r="C78" s="32">
        <f>IFERROR(__xludf.DUMMYFUNCTION("FILTER(IRCTC.NS!H:H,IRCTC.NS!A:A=A78)"),0.02485607734075359)</f>
        <v>0.02485607734</v>
      </c>
      <c r="D78" s="32">
        <f>IFERROR(__xludf.DUMMYFUNCTION("FILTER(TATAELXSI.NS!H:H,TATAELXSI.NS!A:A=A78)"),0.06540084554306065)</f>
        <v>0.06540084554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1">
        <f>IFERROR(__xludf.DUMMYFUNCTION("""COMPUTED_VALUE"""),44459.0)</f>
        <v>44459</v>
      </c>
      <c r="B79" s="32">
        <f>IFERROR(__xludf.DUMMYFUNCTION("FILTER(INFY.NS!H:H,INFY.NS!A:A=A79)"),-0.002039894105152938)</f>
        <v>-0.002039894105</v>
      </c>
      <c r="C79" s="32">
        <f>IFERROR(__xludf.DUMMYFUNCTION("FILTER(IRCTC.NS!H:H,IRCTC.NS!A:A=A79)"),-0.040249490451087645)</f>
        <v>-0.04024949045</v>
      </c>
      <c r="D79" s="32">
        <f>IFERROR(__xludf.DUMMYFUNCTION("FILTER(TATAELXSI.NS!H:H,TATAELXSI.NS!A:A=A79)"),0.06211474034718017)</f>
        <v>0.06211474035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1">
        <f>IFERROR(__xludf.DUMMYFUNCTION("""COMPUTED_VALUE"""),44460.0)</f>
        <v>44460</v>
      </c>
      <c r="B80" s="32">
        <f>IFERROR(__xludf.DUMMYFUNCTION("FILTER(INFY.NS!H:H,INFY.NS!A:A=A80)"),0.0181295585716204)</f>
        <v>0.01812955857</v>
      </c>
      <c r="C80" s="32">
        <f>IFERROR(__xludf.DUMMYFUNCTION("FILTER(IRCTC.NS!H:H,IRCTC.NS!A:A=A80)"),-0.0224790900750498)</f>
        <v>-0.02247909008</v>
      </c>
      <c r="D80" s="32">
        <f>IFERROR(__xludf.DUMMYFUNCTION("FILTER(TATAELXSI.NS!H:H,TATAELXSI.NS!A:A=A80)"),-0.03631016563258015)</f>
        <v>-0.03631016563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1">
        <f>IFERROR(__xludf.DUMMYFUNCTION("""COMPUTED_VALUE"""),44461.0)</f>
        <v>44461</v>
      </c>
      <c r="B81" s="32">
        <f>IFERROR(__xludf.DUMMYFUNCTION("FILTER(INFY.NS!H:H,INFY.NS!A:A=A81)"),-9.019331631381478E-4)</f>
        <v>-0.0009019331631</v>
      </c>
      <c r="C81" s="32">
        <f>IFERROR(__xludf.DUMMYFUNCTION("FILTER(IRCTC.NS!H:H,IRCTC.NS!A:A=A81)"),0.012898204395375215)</f>
        <v>0.0128982044</v>
      </c>
      <c r="D81" s="32">
        <f>IFERROR(__xludf.DUMMYFUNCTION("FILTER(TATAELXSI.NS!H:H,TATAELXSI.NS!A:A=A81)"),-0.007081965430122506)</f>
        <v>-0.00708196543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1">
        <f>IFERROR(__xludf.DUMMYFUNCTION("""COMPUTED_VALUE"""),44462.0)</f>
        <v>44462</v>
      </c>
      <c r="B82" s="32">
        <f>IFERROR(__xludf.DUMMYFUNCTION("FILTER(INFY.NS!H:H,INFY.NS!A:A=A82)"),0.014939731283968992)</f>
        <v>0.01493973128</v>
      </c>
      <c r="C82" s="32">
        <f>IFERROR(__xludf.DUMMYFUNCTION("FILTER(IRCTC.NS!H:H,IRCTC.NS!A:A=A82)"),0.006196698632681882)</f>
        <v>0.006196698633</v>
      </c>
      <c r="D82" s="32">
        <f>IFERROR(__xludf.DUMMYFUNCTION("FILTER(TATAELXSI.NS!H:H,TATAELXSI.NS!A:A=A82)"),0.026280638616435422)</f>
        <v>0.02628063862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1">
        <f>IFERROR(__xludf.DUMMYFUNCTION("""COMPUTED_VALUE"""),44463.0)</f>
        <v>44463</v>
      </c>
      <c r="B83" s="32">
        <f>IFERROR(__xludf.DUMMYFUNCTION("FILTER(INFY.NS!H:H,INFY.NS!A:A=A83)"),0.012223423374395156)</f>
        <v>0.01222342337</v>
      </c>
      <c r="C83" s="32">
        <f>IFERROR(__xludf.DUMMYFUNCTION("FILTER(IRCTC.NS!H:H,IRCTC.NS!A:A=A83)"),-0.001299416632962215)</f>
        <v>-0.001299416633</v>
      </c>
      <c r="D83" s="32">
        <f>IFERROR(__xludf.DUMMYFUNCTION("FILTER(TATAELXSI.NS!H:H,TATAELXSI.NS!A:A=A83)"),0.024472723819966097)</f>
        <v>0.02447272382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1">
        <f>IFERROR(__xludf.DUMMYFUNCTION("""COMPUTED_VALUE"""),44466.0)</f>
        <v>44466</v>
      </c>
      <c r="B84" s="32">
        <f>IFERROR(__xludf.DUMMYFUNCTION("FILTER(INFY.NS!H:H,INFY.NS!A:A=A84)"),-0.024208380860618012)</f>
        <v>-0.02420838086</v>
      </c>
      <c r="C84" s="32">
        <f>IFERROR(__xludf.DUMMYFUNCTION("FILTER(IRCTC.NS!H:H,IRCTC.NS!A:A=A84)"),0.0394795757233988)</f>
        <v>0.03947957572</v>
      </c>
      <c r="D84" s="32">
        <f>IFERROR(__xludf.DUMMYFUNCTION("FILTER(TATAELXSI.NS!H:H,TATAELXSI.NS!A:A=A84)"),-0.02489373322522303)</f>
        <v>-0.02489373323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1">
        <f>IFERROR(__xludf.DUMMYFUNCTION("""COMPUTED_VALUE"""),44467.0)</f>
        <v>44467</v>
      </c>
      <c r="B85" s="32">
        <f>IFERROR(__xludf.DUMMYFUNCTION("FILTER(INFY.NS!H:H,INFY.NS!A:A=A85)"),-0.019783312044389257)</f>
        <v>-0.01978331204</v>
      </c>
      <c r="C85" s="32">
        <f>IFERROR(__xludf.DUMMYFUNCTION("FILTER(IRCTC.NS!H:H,IRCTC.NS!A:A=A85)"),0.008005443636221198)</f>
        <v>0.008005443636</v>
      </c>
      <c r="D85" s="32">
        <f>IFERROR(__xludf.DUMMYFUNCTION("FILTER(TATAELXSI.NS!H:H,TATAELXSI.NS!A:A=A85)"),-0.00965757152658533)</f>
        <v>-0.009657571527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1">
        <f>IFERROR(__xludf.DUMMYFUNCTION("""COMPUTED_VALUE"""),44468.0)</f>
        <v>44468</v>
      </c>
      <c r="B86" s="32">
        <f>IFERROR(__xludf.DUMMYFUNCTION("FILTER(INFY.NS!H:H,INFY.NS!A:A=A86)"),0.003052589694305129)</f>
        <v>0.003052589694</v>
      </c>
      <c r="C86" s="32">
        <f>IFERROR(__xludf.DUMMYFUNCTION("FILTER(IRCTC.NS!H:H,IRCTC.NS!A:A=A86)"),-0.024692112638995973)</f>
        <v>-0.02469211264</v>
      </c>
      <c r="D86" s="32">
        <f>IFERROR(__xludf.DUMMYFUNCTION("FILTER(TATAELXSI.NS!H:H,TATAELXSI.NS!A:A=A86)"),-0.011984486012104478)</f>
        <v>-0.01198448601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1">
        <f>IFERROR(__xludf.DUMMYFUNCTION("""COMPUTED_VALUE"""),44469.0)</f>
        <v>44469</v>
      </c>
      <c r="B87" s="32">
        <f>IFERROR(__xludf.DUMMYFUNCTION("FILTER(INFY.NS!H:H,INFY.NS!A:A=A87)"),-0.010075372433151097)</f>
        <v>-0.01007537243</v>
      </c>
      <c r="C87" s="32">
        <f>IFERROR(__xludf.DUMMYFUNCTION("FILTER(IRCTC.NS!H:H,IRCTC.NS!A:A=A87)"),0.007519571876360911)</f>
        <v>0.007519571876</v>
      </c>
      <c r="D87" s="32">
        <f>IFERROR(__xludf.DUMMYFUNCTION("FILTER(TATAELXSI.NS!H:H,TATAELXSI.NS!A:A=A87)"),-6.61014693403662E-4)</f>
        <v>-0.0006610146934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1">
        <f>IFERROR(__xludf.DUMMYFUNCTION("""COMPUTED_VALUE"""),44470.0)</f>
        <v>44470</v>
      </c>
      <c r="B88" s="32">
        <f>IFERROR(__xludf.DUMMYFUNCTION("FILTER(INFY.NS!H:H,INFY.NS!A:A=A88)"),-0.00599924026621466)</f>
        <v>-0.005999240266</v>
      </c>
      <c r="C88" s="32">
        <f>IFERROR(__xludf.DUMMYFUNCTION("FILTER(IRCTC.NS!H:H,IRCTC.NS!A:A=A88)"),-0.0012900368362769334)</f>
        <v>-0.001290036836</v>
      </c>
      <c r="D88" s="32">
        <f>IFERROR(__xludf.DUMMYFUNCTION("FILTER(TATAELXSI.NS!H:H,TATAELXSI.NS!A:A=A88)"),0.033741208351647844)</f>
        <v>0.03374120835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1">
        <f>IFERROR(__xludf.DUMMYFUNCTION("""COMPUTED_VALUE"""),44473.0)</f>
        <v>44473</v>
      </c>
      <c r="B89" s="32">
        <f>IFERROR(__xludf.DUMMYFUNCTION("FILTER(INFY.NS!H:H,INFY.NS!A:A=A89)"),0.008167417832616847)</f>
        <v>0.008167417833</v>
      </c>
      <c r="C89" s="32">
        <f>IFERROR(__xludf.DUMMYFUNCTION("FILTER(IRCTC.NS!H:H,IRCTC.NS!A:A=A89)"),0.05675355815828397)</f>
        <v>0.05675355816</v>
      </c>
      <c r="D89" s="32">
        <f>IFERROR(__xludf.DUMMYFUNCTION("FILTER(TATAELXSI.NS!H:H,TATAELXSI.NS!A:A=A89)"),0.018468613232582802)</f>
        <v>0.01846861323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1">
        <f>IFERROR(__xludf.DUMMYFUNCTION("""COMPUTED_VALUE"""),44474.0)</f>
        <v>44474</v>
      </c>
      <c r="B90" s="32">
        <f>IFERROR(__xludf.DUMMYFUNCTION("FILTER(INFY.NS!H:H,INFY.NS!A:A=A90)"),0.008369351600893488)</f>
        <v>0.008369351601</v>
      </c>
      <c r="C90" s="32">
        <f>IFERROR(__xludf.DUMMYFUNCTION("FILTER(IRCTC.NS!H:H,IRCTC.NS!A:A=A90)"),0.039212677870279024)</f>
        <v>0.03921267787</v>
      </c>
      <c r="D90" s="32">
        <f>IFERROR(__xludf.DUMMYFUNCTION("FILTER(TATAELXSI.NS!H:H,TATAELXSI.NS!A:A=A90)"),-0.008396189075178832)</f>
        <v>-0.008396189075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1">
        <f>IFERROR(__xludf.DUMMYFUNCTION("""COMPUTED_VALUE"""),44475.0)</f>
        <v>44475</v>
      </c>
      <c r="B91" s="32">
        <f>IFERROR(__xludf.DUMMYFUNCTION("FILTER(INFY.NS!H:H,INFY.NS!A:A=A91)"),-0.011371691542289175)</f>
        <v>-0.01137169154</v>
      </c>
      <c r="C91" s="32">
        <f>IFERROR(__xludf.DUMMYFUNCTION("FILTER(IRCTC.NS!H:H,IRCTC.NS!A:A=A91)"),0.0713497204449508)</f>
        <v>0.07134972044</v>
      </c>
      <c r="D91" s="32">
        <f>IFERROR(__xludf.DUMMYFUNCTION("FILTER(TATAELXSI.NS!H:H,TATAELXSI.NS!A:A=A91)"),0.05544383251003755)</f>
        <v>0.05544383251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1">
        <f>IFERROR(__xludf.DUMMYFUNCTION("""COMPUTED_VALUE"""),44476.0)</f>
        <v>44476</v>
      </c>
      <c r="B92" s="32">
        <f>IFERROR(__xludf.DUMMYFUNCTION("FILTER(INFY.NS!H:H,INFY.NS!A:A=A92)"),0.010426907166849873)</f>
        <v>0.01042690717</v>
      </c>
      <c r="C92" s="32">
        <f>IFERROR(__xludf.DUMMYFUNCTION("FILTER(IRCTC.NS!H:H,IRCTC.NS!A:A=A92)"),0.050981897976511176)</f>
        <v>0.05098189798</v>
      </c>
      <c r="D92" s="32">
        <f>IFERROR(__xludf.DUMMYFUNCTION("FILTER(TATAELXSI.NS!H:H,TATAELXSI.NS!A:A=A92)"),0.029899625916753474)</f>
        <v>0.02989962592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1">
        <f>IFERROR(__xludf.DUMMYFUNCTION("""COMPUTED_VALUE"""),44477.0)</f>
        <v>44477</v>
      </c>
      <c r="B93" s="32">
        <f>IFERROR(__xludf.DUMMYFUNCTION("FILTER(INFY.NS!H:H,INFY.NS!A:A=A93)"),0.01942636073329389)</f>
        <v>0.01942636073</v>
      </c>
      <c r="C93" s="32">
        <f>IFERROR(__xludf.DUMMYFUNCTION("FILTER(IRCTC.NS!H:H,IRCTC.NS!A:A=A93)"),0.03957663271124562)</f>
        <v>0.03957663271</v>
      </c>
      <c r="D93" s="32">
        <f>IFERROR(__xludf.DUMMYFUNCTION("FILTER(TATAELXSI.NS!H:H,TATAELXSI.NS!A:A=A93)"),-0.018359359666049645)</f>
        <v>-0.01835935967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1">
        <f>IFERROR(__xludf.DUMMYFUNCTION("""COMPUTED_VALUE"""),44480.0)</f>
        <v>44480</v>
      </c>
      <c r="B94" s="32">
        <f>IFERROR(__xludf.DUMMYFUNCTION("FILTER(INFY.NS!H:H,INFY.NS!A:A=A94)"),-0.019085201994399028)</f>
        <v>-0.01908520199</v>
      </c>
      <c r="C94" s="32">
        <f>IFERROR(__xludf.DUMMYFUNCTION("FILTER(IRCTC.NS!H:H,IRCTC.NS!A:A=A94)"),-0.021326540323233705)</f>
        <v>-0.02132654032</v>
      </c>
      <c r="D94" s="32">
        <f>IFERROR(__xludf.DUMMYFUNCTION("FILTER(TATAELXSI.NS!H:H,TATAELXSI.NS!A:A=A94)"),1.7645425254597024E-4)</f>
        <v>0.0001764542525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1">
        <f>IFERROR(__xludf.DUMMYFUNCTION("""COMPUTED_VALUE"""),44481.0)</f>
        <v>44481</v>
      </c>
      <c r="B95" s="32">
        <f>IFERROR(__xludf.DUMMYFUNCTION("FILTER(INFY.NS!H:H,INFY.NS!A:A=A95)"),-0.0034299814708117432)</f>
        <v>-0.003429981471</v>
      </c>
      <c r="C95" s="32">
        <f>IFERROR(__xludf.DUMMYFUNCTION("FILTER(IRCTC.NS!H:H,IRCTC.NS!A:A=A95)"),0.00936606416521504)</f>
        <v>0.009366064165</v>
      </c>
      <c r="D95" s="32">
        <f>IFERROR(__xludf.DUMMYFUNCTION("FILTER(TATAELXSI.NS!H:H,TATAELXSI.NS!A:A=A95)"),-0.025534255547936622)</f>
        <v>-0.02553425555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1">
        <f>IFERROR(__xludf.DUMMYFUNCTION("""COMPUTED_VALUE"""),44482.0)</f>
        <v>44482</v>
      </c>
      <c r="B96" s="32">
        <f>IFERROR(__xludf.DUMMYFUNCTION("FILTER(INFY.NS!H:H,INFY.NS!A:A=A96)"),0.014271683029688533)</f>
        <v>0.01427168303</v>
      </c>
      <c r="C96" s="32">
        <f>IFERROR(__xludf.DUMMYFUNCTION("FILTER(IRCTC.NS!H:H,IRCTC.NS!A:A=A96)"),0.023156362781798327)</f>
        <v>0.02315636278</v>
      </c>
      <c r="D96" s="32">
        <f>IFERROR(__xludf.DUMMYFUNCTION("FILTER(TATAELXSI.NS!H:H,TATAELXSI.NS!A:A=A96)"),0.007647822437823446)</f>
        <v>0.007647822438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1">
        <f>IFERROR(__xludf.DUMMYFUNCTION("""COMPUTED_VALUE"""),44483.0)</f>
        <v>44483</v>
      </c>
      <c r="B97" s="32">
        <f>IFERROR(__xludf.DUMMYFUNCTION("FILTER(INFY.NS!H:H,INFY.NS!A:A=A97)"),0.003832230978106285)</f>
        <v>0.003832230978</v>
      </c>
      <c r="C97" s="32">
        <f>IFERROR(__xludf.DUMMYFUNCTION("FILTER(IRCTC.NS!H:H,IRCTC.NS!A:A=A97)"),0.10849491754083233)</f>
        <v>0.1084949175</v>
      </c>
      <c r="D97" s="32">
        <f>IFERROR(__xludf.DUMMYFUNCTION("FILTER(TATAELXSI.NS!H:H,TATAELXSI.NS!A:A=A97)"),0.022850949291777493)</f>
        <v>0.02285094929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1">
        <f>IFERROR(__xludf.DUMMYFUNCTION("""COMPUTED_VALUE"""),44487.0)</f>
        <v>44487</v>
      </c>
      <c r="B98" s="32">
        <f>IFERROR(__xludf.DUMMYFUNCTION("FILTER(INFY.NS!H:H,INFY.NS!A:A=A98)"),0.044528645781728125)</f>
        <v>0.04452864578</v>
      </c>
      <c r="C98" s="32">
        <f>IFERROR(__xludf.DUMMYFUNCTION("FILTER(IRCTC.NS!H:H,IRCTC.NS!A:A=A98)"),0.07580243702015631)</f>
        <v>0.07580243702</v>
      </c>
      <c r="D98" s="32">
        <f>IFERROR(__xludf.DUMMYFUNCTION("FILTER(TATAELXSI.NS!H:H,TATAELXSI.NS!A:A=A98)"),0.009321098120973037)</f>
        <v>0.009321098121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1">
        <f>IFERROR(__xludf.DUMMYFUNCTION("""COMPUTED_VALUE"""),44488.0)</f>
        <v>44488</v>
      </c>
      <c r="B99" s="32">
        <f>IFERROR(__xludf.DUMMYFUNCTION("FILTER(INFY.NS!H:H,INFY.NS!A:A=A99)"),0.016739670004323255)</f>
        <v>0.01673967</v>
      </c>
      <c r="C99" s="32">
        <f>IFERROR(__xludf.DUMMYFUNCTION("FILTER(IRCTC.NS!H:H,IRCTC.NS!A:A=A99)"),-0.07194146111087926)</f>
        <v>-0.07194146111</v>
      </c>
      <c r="D99" s="32">
        <f>IFERROR(__xludf.DUMMYFUNCTION("FILTER(TATAELXSI.NS!H:H,TATAELXSI.NS!A:A=A99)"),-0.004581882451524436)</f>
        <v>-0.004581882452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1">
        <f>IFERROR(__xludf.DUMMYFUNCTION("""COMPUTED_VALUE"""),44489.0)</f>
        <v>44489</v>
      </c>
      <c r="B100" s="32">
        <f>IFERROR(__xludf.DUMMYFUNCTION("FILTER(INFY.NS!H:H,INFY.NS!A:A=A100)"),-0.010866310533824662)</f>
        <v>-0.01086631053</v>
      </c>
      <c r="C100" s="32">
        <f>IFERROR(__xludf.DUMMYFUNCTION("FILTER(IRCTC.NS!H:H,IRCTC.NS!A:A=A100)"),-0.1870812042726701)</f>
        <v>-0.1870812043</v>
      </c>
      <c r="D100" s="32">
        <f>IFERROR(__xludf.DUMMYFUNCTION("FILTER(TATAELXSI.NS!H:H,TATAELXSI.NS!A:A=A100)"),-0.01756938288983766)</f>
        <v>-0.01756938289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1">
        <f>IFERROR(__xludf.DUMMYFUNCTION("""COMPUTED_VALUE"""),44490.0)</f>
        <v>44490</v>
      </c>
      <c r="B101" s="32">
        <f>IFERROR(__xludf.DUMMYFUNCTION("FILTER(INFY.NS!H:H,INFY.NS!A:A=A101)"),-0.027020252807992903)</f>
        <v>-0.02702025281</v>
      </c>
      <c r="C101" s="32">
        <f>IFERROR(__xludf.DUMMYFUNCTION("FILTER(IRCTC.NS!H:H,IRCTC.NS!A:A=A101)"),0.0313236767019049)</f>
        <v>0.0313236767</v>
      </c>
      <c r="D101" s="32">
        <f>IFERROR(__xludf.DUMMYFUNCTION("FILTER(TATAELXSI.NS!H:H,TATAELXSI.NS!A:A=A101)"),-0.043333305672307317)</f>
        <v>-0.04333330567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1">
        <f>IFERROR(__xludf.DUMMYFUNCTION("""COMPUTED_VALUE"""),44491.0)</f>
        <v>44491</v>
      </c>
      <c r="B102" s="32">
        <f>IFERROR(__xludf.DUMMYFUNCTION("FILTER(INFY.NS!H:H,INFY.NS!A:A=A102)"),-0.019302582919475435)</f>
        <v>-0.01930258292</v>
      </c>
      <c r="C102" s="32">
        <f>IFERROR(__xludf.DUMMYFUNCTION("FILTER(IRCTC.NS!H:H,IRCTC.NS!A:A=A102)"),0.010780064222684517)</f>
        <v>0.01078006422</v>
      </c>
      <c r="D102" s="32">
        <f>IFERROR(__xludf.DUMMYFUNCTION("FILTER(TATAELXSI.NS!H:H,TATAELXSI.NS!A:A=A102)"),0.020503748031776226)</f>
        <v>0.02050374803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1">
        <f>IFERROR(__xludf.DUMMYFUNCTION("""COMPUTED_VALUE"""),44494.0)</f>
        <v>44494</v>
      </c>
      <c r="B103" s="32">
        <f>IFERROR(__xludf.DUMMYFUNCTION("FILTER(INFY.NS!H:H,INFY.NS!A:A=A103)"),-0.007122921066971083)</f>
        <v>-0.007122921067</v>
      </c>
      <c r="C103" s="32">
        <f>IFERROR(__xludf.DUMMYFUNCTION("FILTER(IRCTC.NS!H:H,IRCTC.NS!A:A=A103)"),-0.12984179479030192)</f>
        <v>-0.1298417948</v>
      </c>
      <c r="D103" s="32">
        <f>IFERROR(__xludf.DUMMYFUNCTION("FILTER(TATAELXSI.NS!H:H,TATAELXSI.NS!A:A=A103)"),-0.03698417141254791)</f>
        <v>-0.03698417141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1">
        <f>IFERROR(__xludf.DUMMYFUNCTION("""COMPUTED_VALUE"""),44495.0)</f>
        <v>44495</v>
      </c>
      <c r="B104" s="32">
        <f>IFERROR(__xludf.DUMMYFUNCTION("FILTER(INFY.NS!H:H,INFY.NS!A:A=A104)"),-0.0022547497230049796)</f>
        <v>-0.002254749723</v>
      </c>
      <c r="C104" s="32">
        <f>IFERROR(__xludf.DUMMYFUNCTION("FILTER(IRCTC.NS!H:H,IRCTC.NS!A:A=A104)"),0.041555377086909366)</f>
        <v>0.04155537709</v>
      </c>
      <c r="D104" s="32">
        <f>IFERROR(__xludf.DUMMYFUNCTION("FILTER(TATAELXSI.NS!H:H,TATAELXSI.NS!A:A=A104)"),0.011533429345001253)</f>
        <v>0.01153342935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1">
        <f>IFERROR(__xludf.DUMMYFUNCTION("""COMPUTED_VALUE"""),44496.0)</f>
        <v>44496</v>
      </c>
      <c r="B105" s="32">
        <f>IFERROR(__xludf.DUMMYFUNCTION("FILTER(INFY.NS!H:H,INFY.NS!A:A=A105)"),0.014820684819048868)</f>
        <v>0.01482068482</v>
      </c>
      <c r="C105" s="32">
        <f>IFERROR(__xludf.DUMMYFUNCTION("FILTER(IRCTC.NS!H:H,IRCTC.NS!A:A=A105)"),-0.01416636192863985)</f>
        <v>-0.01416636193</v>
      </c>
      <c r="D105" s="32">
        <f>IFERROR(__xludf.DUMMYFUNCTION("FILTER(TATAELXSI.NS!H:H,TATAELXSI.NS!A:A=A105)"),-0.001540160767106104)</f>
        <v>-0.001540160767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1">
        <f>IFERROR(__xludf.DUMMYFUNCTION("""COMPUTED_VALUE"""),44497.0)</f>
        <v>44497</v>
      </c>
      <c r="B106" s="32">
        <f>IFERROR(__xludf.DUMMYFUNCTION("FILTER(INFY.NS!H:H,INFY.NS!A:A=A106)"),-0.014488520610739197)</f>
        <v>-0.01448852061</v>
      </c>
      <c r="C106" s="32">
        <f>IFERROR(__xludf.DUMMYFUNCTION("FILTER(IRCTC.NS!H:H,IRCTC.NS!A:A=A106)"),0.10589199899414309)</f>
        <v>0.105891999</v>
      </c>
      <c r="D106" s="32">
        <f>IFERROR(__xludf.DUMMYFUNCTION("FILTER(TATAELXSI.NS!H:H,TATAELXSI.NS!A:A=A106)"),0.005172886070228769)</f>
        <v>0.00517288607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1">
        <f>IFERROR(__xludf.DUMMYFUNCTION("""COMPUTED_VALUE"""),44498.0)</f>
        <v>44498</v>
      </c>
      <c r="B107" s="32">
        <f>IFERROR(__xludf.DUMMYFUNCTION("FILTER(INFY.NS!H:H,INFY.NS!A:A=A107)"),-0.021216047591299306)</f>
        <v>-0.02121604759</v>
      </c>
      <c r="C107" s="32">
        <f>IFERROR(__xludf.DUMMYFUNCTION("FILTER(IRCTC.NS!H:H,IRCTC.NS!A:A=A107)"),-0.07422001970443348)</f>
        <v>-0.0742200197</v>
      </c>
      <c r="D107" s="32">
        <f>IFERROR(__xludf.DUMMYFUNCTION("FILTER(TATAELXSI.NS!H:H,TATAELXSI.NS!A:A=A107)"),-0.004273030097498999)</f>
        <v>-0.004273030097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1">
        <f>IFERROR(__xludf.DUMMYFUNCTION("""COMPUTED_VALUE"""),44501.0)</f>
        <v>44501</v>
      </c>
      <c r="B108" s="32">
        <f>IFERROR(__xludf.DUMMYFUNCTION("FILTER(INFY.NS!H:H,INFY.NS!A:A=A108)"),0.019367440563633605)</f>
        <v>0.01936744056</v>
      </c>
      <c r="C108" s="32">
        <f>IFERROR(__xludf.DUMMYFUNCTION("FILTER(IRCTC.NS!H:H,IRCTC.NS!A:A=A108)"),0.011528910797745146)</f>
        <v>0.0115289108</v>
      </c>
      <c r="D108" s="32">
        <f>IFERROR(__xludf.DUMMYFUNCTION("FILTER(TATAELXSI.NS!H:H,TATAELXSI.NS!A:A=A108)"),0.01735272267830009)</f>
        <v>0.01735272268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1">
        <f>IFERROR(__xludf.DUMMYFUNCTION("""COMPUTED_VALUE"""),44502.0)</f>
        <v>44502</v>
      </c>
      <c r="B109" s="32">
        <f>IFERROR(__xludf.DUMMYFUNCTION("FILTER(INFY.NS!H:H,INFY.NS!A:A=A109)"),-0.0012646833552133348)</f>
        <v>-0.001264683355</v>
      </c>
      <c r="C109" s="32">
        <f>IFERROR(__xludf.DUMMYFUNCTION("FILTER(IRCTC.NS!H:H,IRCTC.NS!A:A=A109)"),-0.008475071480857025)</f>
        <v>-0.008475071481</v>
      </c>
      <c r="D109" s="32">
        <f>IFERROR(__xludf.DUMMYFUNCTION("FILTER(TATAELXSI.NS!H:H,TATAELXSI.NS!A:A=A109)"),0.017650849244766523)</f>
        <v>0.01765084924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1">
        <f>IFERROR(__xludf.DUMMYFUNCTION("""COMPUTED_VALUE"""),44503.0)</f>
        <v>44503</v>
      </c>
      <c r="B110" s="32">
        <f>IFERROR(__xludf.DUMMYFUNCTION("FILTER(INFY.NS!H:H,INFY.NS!A:A=A110)"),0.002709214874243956)</f>
        <v>0.002709214874</v>
      </c>
      <c r="C110" s="32">
        <f>IFERROR(__xludf.DUMMYFUNCTION("FILTER(IRCTC.NS!H:H,IRCTC.NS!A:A=A110)"),-0.03342376279051508)</f>
        <v>-0.03342376279</v>
      </c>
      <c r="D110" s="32">
        <f>IFERROR(__xludf.DUMMYFUNCTION("FILTER(TATAELXSI.NS!H:H,TATAELXSI.NS!A:A=A110)"),0.018167196759745225)</f>
        <v>0.01816719676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1">
        <f>IFERROR(__xludf.DUMMYFUNCTION("""COMPUTED_VALUE"""),44504.0)</f>
        <v>44504</v>
      </c>
      <c r="B111" s="32">
        <f>IFERROR(__xludf.DUMMYFUNCTION("FILTER(INFY.NS!H:H,INFY.NS!A:A=A111)"),0.0036416745961821177)</f>
        <v>0.003641674596</v>
      </c>
      <c r="C111" s="32">
        <f>IFERROR(__xludf.DUMMYFUNCTION("FILTER(IRCTC.NS!H:H,IRCTC.NS!A:A=A111)"),0.002927394121189839)</f>
        <v>0.002927394121</v>
      </c>
      <c r="D111" s="32">
        <f>IFERROR(__xludf.DUMMYFUNCTION("FILTER(TATAELXSI.NS!H:H,TATAELXSI.NS!A:A=A111)"),0.004846448284365046)</f>
        <v>0.004846448284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1">
        <f>IFERROR(__xludf.DUMMYFUNCTION("""COMPUTED_VALUE"""),44508.0)</f>
        <v>44508</v>
      </c>
      <c r="B112" s="32">
        <f>IFERROR(__xludf.DUMMYFUNCTION("FILTER(INFY.NS!H:H,INFY.NS!A:A=A112)"),0.01685494810434389)</f>
        <v>0.0168549481</v>
      </c>
      <c r="C112" s="32">
        <f>IFERROR(__xludf.DUMMYFUNCTION("FILTER(IRCTC.NS!H:H,IRCTC.NS!A:A=A112)"),0.012891427181514101)</f>
        <v>0.01289142718</v>
      </c>
      <c r="D112" s="32">
        <f>IFERROR(__xludf.DUMMYFUNCTION("FILTER(TATAELXSI.NS!H:H,TATAELXSI.NS!A:A=A112)"),-0.005715389212374736)</f>
        <v>-0.005715389212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1">
        <f>IFERROR(__xludf.DUMMYFUNCTION("""COMPUTED_VALUE"""),44509.0)</f>
        <v>44509</v>
      </c>
      <c r="B113" s="32">
        <f>IFERROR(__xludf.DUMMYFUNCTION("FILTER(INFY.NS!H:H,INFY.NS!A:A=A113)"),0.0028776978417266188)</f>
        <v>0.002877697842</v>
      </c>
      <c r="C113" s="32">
        <f>IFERROR(__xludf.DUMMYFUNCTION("FILTER(IRCTC.NS!H:H,IRCTC.NS!A:A=A113)"),0.027796151368322825)</f>
        <v>0.02779615137</v>
      </c>
      <c r="D113" s="32">
        <f>IFERROR(__xludf.DUMMYFUNCTION("FILTER(TATAELXSI.NS!H:H,TATAELXSI.NS!A:A=A113)"),0.013816720326339155)</f>
        <v>0.01381672033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1">
        <f>IFERROR(__xludf.DUMMYFUNCTION("""COMPUTED_VALUE"""),44510.0)</f>
        <v>44510</v>
      </c>
      <c r="B114" s="32">
        <f>IFERROR(__xludf.DUMMYFUNCTION("FILTER(INFY.NS!H:H,INFY.NS!A:A=A114)"),-0.0013486232424677015)</f>
        <v>-0.001348623242</v>
      </c>
      <c r="C114" s="32">
        <f>IFERROR(__xludf.DUMMYFUNCTION("FILTER(IRCTC.NS!H:H,IRCTC.NS!A:A=A114)"),-0.00718460747663555)</f>
        <v>-0.007184607477</v>
      </c>
      <c r="D114" s="32">
        <f>IFERROR(__xludf.DUMMYFUNCTION("FILTER(TATAELXSI.NS!H:H,TATAELXSI.NS!A:A=A114)"),0.02235245645933016)</f>
        <v>0.02235245646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1">
        <f>IFERROR(__xludf.DUMMYFUNCTION("""COMPUTED_VALUE"""),44511.0)</f>
        <v>44511</v>
      </c>
      <c r="B115" s="32">
        <f>IFERROR(__xludf.DUMMYFUNCTION("FILTER(INFY.NS!H:H,INFY.NS!A:A=A115)"),-0.003936427839856229)</f>
        <v>-0.00393642784</v>
      </c>
      <c r="C115" s="32">
        <f>IFERROR(__xludf.DUMMYFUNCTION("FILTER(IRCTC.NS!H:H,IRCTC.NS!A:A=A115)"),-0.0030005154698033256)</f>
        <v>-0.00300051547</v>
      </c>
      <c r="D115" s="32">
        <f>IFERROR(__xludf.DUMMYFUNCTION("FILTER(TATAELXSI.NS!H:H,TATAELXSI.NS!A:A=A115)"),0.028337855709633847)</f>
        <v>0.02833785571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1">
        <f>IFERROR(__xludf.DUMMYFUNCTION("""COMPUTED_VALUE"""),44512.0)</f>
        <v>44512</v>
      </c>
      <c r="B116" s="32">
        <f>IFERROR(__xludf.DUMMYFUNCTION("FILTER(INFY.NS!H:H,INFY.NS!A:A=A116)"),0.02705815535345901)</f>
        <v>0.02705815535</v>
      </c>
      <c r="C116" s="32">
        <f>IFERROR(__xludf.DUMMYFUNCTION("FILTER(IRCTC.NS!H:H,IRCTC.NS!A:A=A116)"),0.02071283872129594)</f>
        <v>0.02071283872</v>
      </c>
      <c r="D116" s="32">
        <f>IFERROR(__xludf.DUMMYFUNCTION("FILTER(TATAELXSI.NS!H:H,TATAELXSI.NS!A:A=A116)"),-0.005923997414238774)</f>
        <v>-0.005923997414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1">
        <f>IFERROR(__xludf.DUMMYFUNCTION("""COMPUTED_VALUE"""),44515.0)</f>
        <v>44515</v>
      </c>
      <c r="B117" s="32">
        <f>IFERROR(__xludf.DUMMYFUNCTION("FILTER(INFY.NS!H:H,INFY.NS!A:A=A117)"),0.0039040968381646554)</f>
        <v>0.003904096838</v>
      </c>
      <c r="C117" s="32">
        <f>IFERROR(__xludf.DUMMYFUNCTION("FILTER(IRCTC.NS!H:H,IRCTC.NS!A:A=A117)"),0.04457426035703568)</f>
        <v>0.04457426036</v>
      </c>
      <c r="D117" s="32">
        <f>IFERROR(__xludf.DUMMYFUNCTION("FILTER(TATAELXSI.NS!H:H,TATAELXSI.NS!A:A=A117)"),0.010156011598183915)</f>
        <v>0.0101560116</v>
      </c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1">
        <f>IFERROR(__xludf.DUMMYFUNCTION("""COMPUTED_VALUE"""),44516.0)</f>
        <v>44516</v>
      </c>
      <c r="B118" s="32">
        <f>IFERROR(__xludf.DUMMYFUNCTION("FILTER(INFY.NS!H:H,INFY.NS!A:A=A118)"),0.00288169707682018)</f>
        <v>0.002881697077</v>
      </c>
      <c r="C118" s="32">
        <f>IFERROR(__xludf.DUMMYFUNCTION("FILTER(IRCTC.NS!H:H,IRCTC.NS!A:A=A118)"),0.019537263151544873)</f>
        <v>0.01953726315</v>
      </c>
      <c r="D118" s="32">
        <f>IFERROR(__xludf.DUMMYFUNCTION("FILTER(TATAELXSI.NS!H:H,TATAELXSI.NS!A:A=A118)"),-0.0030138696822480248)</f>
        <v>-0.003013869682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1">
        <f>IFERROR(__xludf.DUMMYFUNCTION("""COMPUTED_VALUE"""),44517.0)</f>
        <v>44517</v>
      </c>
      <c r="B119" s="32">
        <f>IFERROR(__xludf.DUMMYFUNCTION("FILTER(INFY.NS!H:H,INFY.NS!A:A=A119)"),-0.002706074801875927)</f>
        <v>-0.002706074802</v>
      </c>
      <c r="C119" s="32">
        <f>IFERROR(__xludf.DUMMYFUNCTION("FILTER(IRCTC.NS!H:H,IRCTC.NS!A:A=A119)"),-0.018945781691927035)</f>
        <v>-0.01894578169</v>
      </c>
      <c r="D119" s="32">
        <f>IFERROR(__xludf.DUMMYFUNCTION("FILTER(TATAELXSI.NS!H:H,TATAELXSI.NS!A:A=A119)"),-6.44002808895986E-4)</f>
        <v>-0.0006440028089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1">
        <f>IFERROR(__xludf.DUMMYFUNCTION("""COMPUTED_VALUE"""),44518.0)</f>
        <v>44518</v>
      </c>
      <c r="B120" s="32">
        <f>IFERROR(__xludf.DUMMYFUNCTION("FILTER(INFY.NS!H:H,INFY.NS!A:A=A120)"),-0.004503581762105531)</f>
        <v>-0.004503581762</v>
      </c>
      <c r="C120" s="32">
        <f>IFERROR(__xludf.DUMMYFUNCTION("FILTER(IRCTC.NS!H:H,IRCTC.NS!A:A=A120)"),-0.01433150989813654)</f>
        <v>-0.0143315099</v>
      </c>
      <c r="D120" s="32">
        <f>IFERROR(__xludf.DUMMYFUNCTION("FILTER(TATAELXSI.NS!H:H,TATAELXSI.NS!A:A=A120)"),-0.030985139719406255)</f>
        <v>-0.03098513972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1">
        <f>IFERROR(__xludf.DUMMYFUNCTION("""COMPUTED_VALUE"""),44522.0)</f>
        <v>44522</v>
      </c>
      <c r="B121" s="32">
        <f>IFERROR(__xludf.DUMMYFUNCTION("FILTER(INFY.NS!H:H,INFY.NS!A:A=A121)"),-0.011239743582244664)</f>
        <v>-0.01123974358</v>
      </c>
      <c r="C121" s="32">
        <f>IFERROR(__xludf.DUMMYFUNCTION("FILTER(IRCTC.NS!H:H,IRCTC.NS!A:A=A121)"),-0.004378851282667265)</f>
        <v>-0.004378851283</v>
      </c>
      <c r="D121" s="32">
        <f>IFERROR(__xludf.DUMMYFUNCTION("FILTER(TATAELXSI.NS!H:H,TATAELXSI.NS!A:A=A121)"),-0.05648009936235972)</f>
        <v>-0.05648009936</v>
      </c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1">
        <f>IFERROR(__xludf.DUMMYFUNCTION("""COMPUTED_VALUE"""),44523.0)</f>
        <v>44523</v>
      </c>
      <c r="B122" s="32">
        <f>IFERROR(__xludf.DUMMYFUNCTION("FILTER(INFY.NS!H:H,INFY.NS!A:A=A122)"),-0.012788450433714443)</f>
        <v>-0.01278845043</v>
      </c>
      <c r="C122" s="32">
        <f>IFERROR(__xludf.DUMMYFUNCTION("FILTER(IRCTC.NS!H:H,IRCTC.NS!A:A=A122)"),0.0068226535100084406)</f>
        <v>0.00682265351</v>
      </c>
      <c r="D122" s="32">
        <f>IFERROR(__xludf.DUMMYFUNCTION("FILTER(TATAELXSI.NS!H:H,TATAELXSI.NS!A:A=A122)"),0.0014346065010031786)</f>
        <v>0.001434606501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1">
        <f>IFERROR(__xludf.DUMMYFUNCTION("""COMPUTED_VALUE"""),44524.0)</f>
        <v>44524</v>
      </c>
      <c r="B123" s="32">
        <f>IFERROR(__xludf.DUMMYFUNCTION("FILTER(INFY.NS!H:H,INFY.NS!A:A=A123)"),-0.023547713417499515)</f>
        <v>-0.02354771342</v>
      </c>
      <c r="C123" s="32">
        <f>IFERROR(__xludf.DUMMYFUNCTION("FILTER(IRCTC.NS!H:H,IRCTC.NS!A:A=A123)"),-0.03360215098927622)</f>
        <v>-0.03360215099</v>
      </c>
      <c r="D123" s="32">
        <f>IFERROR(__xludf.DUMMYFUNCTION("FILTER(TATAELXSI.NS!H:H,TATAELXSI.NS!A:A=A123)"),-0.0043388939469426804)</f>
        <v>-0.004338893947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1">
        <f>IFERROR(__xludf.DUMMYFUNCTION("""COMPUTED_VALUE"""),44525.0)</f>
        <v>44525</v>
      </c>
      <c r="B124" s="32">
        <f>IFERROR(__xludf.DUMMYFUNCTION("FILTER(INFY.NS!H:H,INFY.NS!A:A=A124)"),0.01556605188679247)</f>
        <v>0.01556605189</v>
      </c>
      <c r="C124" s="32">
        <f>IFERROR(__xludf.DUMMYFUNCTION("FILTER(IRCTC.NS!H:H,IRCTC.NS!A:A=A124)"),0.0031872972163277313)</f>
        <v>0.003187297216</v>
      </c>
      <c r="D124" s="32">
        <f>IFERROR(__xludf.DUMMYFUNCTION("FILTER(TATAELXSI.NS!H:H,TATAELXSI.NS!A:A=A124)"),-0.01017088477691382)</f>
        <v>-0.01017088478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1">
        <f>IFERROR(__xludf.DUMMYFUNCTION("""COMPUTED_VALUE"""),44526.0)</f>
        <v>44526</v>
      </c>
      <c r="B125" s="32">
        <f>IFERROR(__xludf.DUMMYFUNCTION("FILTER(INFY.NS!H:H,INFY.NS!A:A=A125)"),-0.017852995571021893)</f>
        <v>-0.01785299557</v>
      </c>
      <c r="C125" s="32">
        <f>IFERROR(__xludf.DUMMYFUNCTION("FILTER(IRCTC.NS!H:H,IRCTC.NS!A:A=A125)"),-0.04910172790621077)</f>
        <v>-0.04910172791</v>
      </c>
      <c r="D125" s="32">
        <f>IFERROR(__xludf.DUMMYFUNCTION("FILTER(TATAELXSI.NS!H:H,TATAELXSI.NS!A:A=A125)"),-0.018971266008101943)</f>
        <v>-0.01897126601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1">
        <f>IFERROR(__xludf.DUMMYFUNCTION("""COMPUTED_VALUE"""),44529.0)</f>
        <v>44529</v>
      </c>
      <c r="B126" s="32">
        <f>IFERROR(__xludf.DUMMYFUNCTION("FILTER(INFY.NS!H:H,INFY.NS!A:A=A126)"),0.0027783240820028737)</f>
        <v>0.002778324082</v>
      </c>
      <c r="C126" s="32">
        <f>IFERROR(__xludf.DUMMYFUNCTION("FILTER(IRCTC.NS!H:H,IRCTC.NS!A:A=A126)"),-0.05740842073859553)</f>
        <v>-0.05740842074</v>
      </c>
      <c r="D126" s="32">
        <f>IFERROR(__xludf.DUMMYFUNCTION("FILTER(TATAELXSI.NS!H:H,TATAELXSI.NS!A:A=A126)"),-0.027208744423674297)</f>
        <v>-0.02720874442</v>
      </c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1">
        <f>IFERROR(__xludf.DUMMYFUNCTION("""COMPUTED_VALUE"""),44530.0)</f>
        <v>44530</v>
      </c>
      <c r="B127" s="32">
        <f>IFERROR(__xludf.DUMMYFUNCTION("FILTER(INFY.NS!H:H,INFY.NS!A:A=A127)"),0.009608894526845008)</f>
        <v>0.009608894527</v>
      </c>
      <c r="C127" s="32">
        <f>IFERROR(__xludf.DUMMYFUNCTION("FILTER(IRCTC.NS!H:H,IRCTC.NS!A:A=A127)"),0.02494204214914224)</f>
        <v>0.02494204215</v>
      </c>
      <c r="D127" s="32">
        <f>IFERROR(__xludf.DUMMYFUNCTION("FILTER(TATAELXSI.NS!H:H,TATAELXSI.NS!A:A=A127)"),0.018012589862355096)</f>
        <v>0.01801258986</v>
      </c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1">
        <f>IFERROR(__xludf.DUMMYFUNCTION("""COMPUTED_VALUE"""),44531.0)</f>
        <v>44531</v>
      </c>
      <c r="B128" s="32">
        <f>IFERROR(__xludf.DUMMYFUNCTION("FILTER(INFY.NS!H:H,INFY.NS!A:A=A128)"),0.0013137535214258111)</f>
        <v>0.001313753521</v>
      </c>
      <c r="C128" s="32">
        <f>IFERROR(__xludf.DUMMYFUNCTION("FILTER(IRCTC.NS!H:H,IRCTC.NS!A:A=A128)"),0.021128073310603315)</f>
        <v>0.02112807331</v>
      </c>
      <c r="D128" s="32">
        <f>IFERROR(__xludf.DUMMYFUNCTION("FILTER(TATAELXSI.NS!H:H,TATAELXSI.NS!A:A=A128)"),0.01760748138083997)</f>
        <v>0.01760748138</v>
      </c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1">
        <f>IFERROR(__xludf.DUMMYFUNCTION("""COMPUTED_VALUE"""),44532.0)</f>
        <v>44532</v>
      </c>
      <c r="B129" s="32">
        <f>IFERROR(__xludf.DUMMYFUNCTION("FILTER(INFY.NS!H:H,INFY.NS!A:A=A129)"),0.019447183820203835)</f>
        <v>0.01944718382</v>
      </c>
      <c r="C129" s="32">
        <f>IFERROR(__xludf.DUMMYFUNCTION("FILTER(IRCTC.NS!H:H,IRCTC.NS!A:A=A129)"),0.011453892311784317)</f>
        <v>0.01145389231</v>
      </c>
      <c r="D129" s="32">
        <f>IFERROR(__xludf.DUMMYFUNCTION("FILTER(TATAELXSI.NS!H:H,TATAELXSI.NS!A:A=A129)"),0.016367913691500136)</f>
        <v>0.01636791369</v>
      </c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1">
        <f>IFERROR(__xludf.DUMMYFUNCTION("""COMPUTED_VALUE"""),44533.0)</f>
        <v>44533</v>
      </c>
      <c r="B130" s="32">
        <f>IFERROR(__xludf.DUMMYFUNCTION("FILTER(INFY.NS!H:H,INFY.NS!A:A=A130)"),-0.007264379236379268)</f>
        <v>-0.007264379236</v>
      </c>
      <c r="C130" s="32">
        <f>IFERROR(__xludf.DUMMYFUNCTION("FILTER(IRCTC.NS!H:H,IRCTC.NS!A:A=A130)"),-0.0016438063926940269)</f>
        <v>-0.001643806393</v>
      </c>
      <c r="D130" s="32">
        <f>IFERROR(__xludf.DUMMYFUNCTION("FILTER(TATAELXSI.NS!H:H,TATAELXSI.NS!A:A=A130)"),-0.013796563401479995)</f>
        <v>-0.0137965634</v>
      </c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1">
        <f>IFERROR(__xludf.DUMMYFUNCTION("""COMPUTED_VALUE"""),44536.0)</f>
        <v>44536</v>
      </c>
      <c r="B131" s="32">
        <f>IFERROR(__xludf.DUMMYFUNCTION("FILTER(INFY.NS!H:H,INFY.NS!A:A=A131)"),-0.02319149483657443)</f>
        <v>-0.02319149484</v>
      </c>
      <c r="C131" s="32">
        <f>IFERROR(__xludf.DUMMYFUNCTION("FILTER(IRCTC.NS!H:H,IRCTC.NS!A:A=A131)"),-0.022563726623332798)</f>
        <v>-0.02256372662</v>
      </c>
      <c r="D131" s="32">
        <f>IFERROR(__xludf.DUMMYFUNCTION("FILTER(TATAELXSI.NS!H:H,TATAELXSI.NS!A:A=A131)"),-0.03313407130442157)</f>
        <v>-0.0331340713</v>
      </c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1">
        <f>IFERROR(__xludf.DUMMYFUNCTION("""COMPUTED_VALUE"""),44537.0)</f>
        <v>44537</v>
      </c>
      <c r="B132" s="32">
        <f>IFERROR(__xludf.DUMMYFUNCTION("FILTER(INFY.NS!H:H,INFY.NS!A:A=A132)"),0.009644295716055917)</f>
        <v>0.009644295716</v>
      </c>
      <c r="C132" s="32">
        <f>IFERROR(__xludf.DUMMYFUNCTION("FILTER(IRCTC.NS!H:H,IRCTC.NS!A:A=A132)"),0.027015177628694396)</f>
        <v>0.02701517763</v>
      </c>
      <c r="D132" s="32">
        <f>IFERROR(__xludf.DUMMYFUNCTION("FILTER(TATAELXSI.NS!H:H,TATAELXSI.NS!A:A=A132)"),0.034427387712078754)</f>
        <v>0.03442738771</v>
      </c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1">
        <f>IFERROR(__xludf.DUMMYFUNCTION("""COMPUTED_VALUE"""),44538.0)</f>
        <v>44538</v>
      </c>
      <c r="B133" s="32">
        <f>IFERROR(__xludf.DUMMYFUNCTION("FILTER(INFY.NS!H:H,INFY.NS!A:A=A133)"),0.024362428893349483)</f>
        <v>0.02436242889</v>
      </c>
      <c r="C133" s="32">
        <f>IFERROR(__xludf.DUMMYFUNCTION("FILTER(IRCTC.NS!H:H,IRCTC.NS!A:A=A133)"),0.034445096182906504)</f>
        <v>0.03444509618</v>
      </c>
      <c r="D133" s="32">
        <f>IFERROR(__xludf.DUMMYFUNCTION("FILTER(TATAELXSI.NS!H:H,TATAELXSI.NS!A:A=A133)"),-0.001398743697104496)</f>
        <v>-0.001398743697</v>
      </c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1">
        <f>IFERROR(__xludf.DUMMYFUNCTION("""COMPUTED_VALUE"""),44539.0)</f>
        <v>44539</v>
      </c>
      <c r="B134" s="32">
        <f>IFERROR(__xludf.DUMMYFUNCTION("FILTER(INFY.NS!H:H,INFY.NS!A:A=A134)"),0.005760387337524956)</f>
        <v>0.005760387338</v>
      </c>
      <c r="C134" s="32">
        <f>IFERROR(__xludf.DUMMYFUNCTION("FILTER(IRCTC.NS!H:H,IRCTC.NS!A:A=A134)"),0.006401164959328142)</f>
        <v>0.006401164959</v>
      </c>
      <c r="D134" s="32">
        <f>IFERROR(__xludf.DUMMYFUNCTION("FILTER(TATAELXSI.NS!H:H,TATAELXSI.NS!A:A=A134)"),0.009083346218130686)</f>
        <v>0.009083346218</v>
      </c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1">
        <f>IFERROR(__xludf.DUMMYFUNCTION("""COMPUTED_VALUE"""),44540.0)</f>
        <v>44540</v>
      </c>
      <c r="B135" s="32">
        <f>IFERROR(__xludf.DUMMYFUNCTION("FILTER(INFY.NS!H:H,INFY.NS!A:A=A135)"),-0.0023816672526591346)</f>
        <v>-0.002381667253</v>
      </c>
      <c r="C135" s="32">
        <f>IFERROR(__xludf.DUMMYFUNCTION("FILTER(IRCTC.NS!H:H,IRCTC.NS!A:A=A135)"),0.001283814005732137)</f>
        <v>0.001283814006</v>
      </c>
      <c r="D135" s="32">
        <f>IFERROR(__xludf.DUMMYFUNCTION("FILTER(TATAELXSI.NS!H:H,TATAELXSI.NS!A:A=A135)"),0.008471598551370687)</f>
        <v>0.008471598551</v>
      </c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1">
        <f>IFERROR(__xludf.DUMMYFUNCTION("""COMPUTED_VALUE"""),44543.0)</f>
        <v>44543</v>
      </c>
      <c r="B136" s="32">
        <f>IFERROR(__xludf.DUMMYFUNCTION("FILTER(INFY.NS!H:H,INFY.NS!A:A=A136)"),-0.008298977405144221)</f>
        <v>-0.008298977405</v>
      </c>
      <c r="C136" s="32">
        <f>IFERROR(__xludf.DUMMYFUNCTION("FILTER(IRCTC.NS!H:H,IRCTC.NS!A:A=A136)"),8.74176804603856E-4)</f>
        <v>0.0008741768046</v>
      </c>
      <c r="D136" s="32">
        <f>IFERROR(__xludf.DUMMYFUNCTION("FILTER(TATAELXSI.NS!H:H,TATAELXSI.NS!A:A=A136)"),-0.020037555453597478)</f>
        <v>-0.02003755545</v>
      </c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1">
        <f>IFERROR(__xludf.DUMMYFUNCTION("""COMPUTED_VALUE"""),44544.0)</f>
        <v>44544</v>
      </c>
      <c r="B137" s="32">
        <f>IFERROR(__xludf.DUMMYFUNCTION("FILTER(INFY.NS!H:H,INFY.NS!A:A=A137)"),0.004298856445033357)</f>
        <v>0.004298856445</v>
      </c>
      <c r="C137" s="32">
        <f>IFERROR(__xludf.DUMMYFUNCTION("FILTER(IRCTC.NS!H:H,IRCTC.NS!A:A=A137)"),-0.004250639279133992)</f>
        <v>-0.004250639279</v>
      </c>
      <c r="D137" s="32">
        <f>IFERROR(__xludf.DUMMYFUNCTION("FILTER(TATAELXSI.NS!H:H,TATAELXSI.NS!A:A=A137)"),0.025248405246200225)</f>
        <v>0.02524840525</v>
      </c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1">
        <f>IFERROR(__xludf.DUMMYFUNCTION("""COMPUTED_VALUE"""),44545.0)</f>
        <v>44545</v>
      </c>
      <c r="B138" s="32">
        <f>IFERROR(__xludf.DUMMYFUNCTION("FILTER(INFY.NS!H:H,INFY.NS!A:A=A138)"),-0.010244598210272874)</f>
        <v>-0.01024459821</v>
      </c>
      <c r="C138" s="32">
        <f>IFERROR(__xludf.DUMMYFUNCTION("FILTER(IRCTC.NS!H:H,IRCTC.NS!A:A=A138)"),-0.004502632657776225)</f>
        <v>-0.004502632658</v>
      </c>
      <c r="D138" s="32">
        <f>IFERROR(__xludf.DUMMYFUNCTION("FILTER(TATAELXSI.NS!H:H,TATAELXSI.NS!A:A=A138)"),-0.025656140452353905)</f>
        <v>-0.02565614045</v>
      </c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1">
        <f>IFERROR(__xludf.DUMMYFUNCTION("""COMPUTED_VALUE"""),44546.0)</f>
        <v>44546</v>
      </c>
      <c r="B139" s="32">
        <f>IFERROR(__xludf.DUMMYFUNCTION("FILTER(INFY.NS!H:H,INFY.NS!A:A=A139)"),0.021566155032142494)</f>
        <v>0.02156615503</v>
      </c>
      <c r="C139" s="32">
        <f>IFERROR(__xludf.DUMMYFUNCTION("FILTER(IRCTC.NS!H:H,IRCTC.NS!A:A=A139)"),0.001116085510581519)</f>
        <v>0.001116085511</v>
      </c>
      <c r="D139" s="32">
        <f>IFERROR(__xludf.DUMMYFUNCTION("FILTER(TATAELXSI.NS!H:H,TATAELXSI.NS!A:A=A139)"),0.00706434748015782)</f>
        <v>0.00706434748</v>
      </c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1">
        <f>IFERROR(__xludf.DUMMYFUNCTION("""COMPUTED_VALUE"""),44547.0)</f>
        <v>44547</v>
      </c>
      <c r="B140" s="32">
        <f>IFERROR(__xludf.DUMMYFUNCTION("FILTER(INFY.NS!H:H,INFY.NS!A:A=A140)"),0.027799729435083263)</f>
        <v>0.02779972944</v>
      </c>
      <c r="C140" s="32">
        <f>IFERROR(__xludf.DUMMYFUNCTION("FILTER(IRCTC.NS!H:H,IRCTC.NS!A:A=A140)"),-0.02317667012117575)</f>
        <v>-0.02317667012</v>
      </c>
      <c r="D140" s="32">
        <f>IFERROR(__xludf.DUMMYFUNCTION("FILTER(TATAELXSI.NS!H:H,TATAELXSI.NS!A:A=A140)"),-0.029827887241810312)</f>
        <v>-0.02982788724</v>
      </c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1">
        <f>IFERROR(__xludf.DUMMYFUNCTION("""COMPUTED_VALUE"""),44550.0)</f>
        <v>44550</v>
      </c>
      <c r="B141" s="32">
        <f>IFERROR(__xludf.DUMMYFUNCTION("FILTER(INFY.NS!H:H,INFY.NS!A:A=A141)"),-0.012054783364535651)</f>
        <v>-0.01205478336</v>
      </c>
      <c r="C141" s="32">
        <f>IFERROR(__xludf.DUMMYFUNCTION("FILTER(IRCTC.NS!H:H,IRCTC.NS!A:A=A141)"),-0.04601158925483171)</f>
        <v>-0.04601158925</v>
      </c>
      <c r="D141" s="32">
        <f>IFERROR(__xludf.DUMMYFUNCTION("FILTER(TATAELXSI.NS!H:H,TATAELXSI.NS!A:A=A141)"),-0.05213123112502265)</f>
        <v>-0.05213123113</v>
      </c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1">
        <f>IFERROR(__xludf.DUMMYFUNCTION("""COMPUTED_VALUE"""),44551.0)</f>
        <v>44551</v>
      </c>
      <c r="B142" s="32">
        <f>IFERROR(__xludf.DUMMYFUNCTION("FILTER(INFY.NS!H:H,INFY.NS!A:A=A142)"),0.007059843143345213)</f>
        <v>0.007059843143</v>
      </c>
      <c r="C142" s="32">
        <f>IFERROR(__xludf.DUMMYFUNCTION("FILTER(IRCTC.NS!H:H,IRCTC.NS!A:A=A142)"),0.02600431258544709)</f>
        <v>0.02600431259</v>
      </c>
      <c r="D142" s="32">
        <f>IFERROR(__xludf.DUMMYFUNCTION("FILTER(TATAELXSI.NS!H:H,TATAELXSI.NS!A:A=A142)"),1.2885918236370304E-4)</f>
        <v>0.0001288591824</v>
      </c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1">
        <f>IFERROR(__xludf.DUMMYFUNCTION("""COMPUTED_VALUE"""),44552.0)</f>
        <v>44552</v>
      </c>
      <c r="B143" s="32">
        <f>IFERROR(__xludf.DUMMYFUNCTION("FILTER(INFY.NS!H:H,INFY.NS!A:A=A143)"),0.007231163156076398)</f>
        <v>0.007231163156</v>
      </c>
      <c r="C143" s="32">
        <f>IFERROR(__xludf.DUMMYFUNCTION("FILTER(IRCTC.NS!H:H,IRCTC.NS!A:A=A143)"),0.03068425897514575)</f>
        <v>0.03068425898</v>
      </c>
      <c r="D143" s="32">
        <f>IFERROR(__xludf.DUMMYFUNCTION("FILTER(TATAELXSI.NS!H:H,TATAELXSI.NS!A:A=A143)"),0.007755985279234541)</f>
        <v>0.007755985279</v>
      </c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1">
        <f>IFERROR(__xludf.DUMMYFUNCTION("""COMPUTED_VALUE"""),44553.0)</f>
        <v>44553</v>
      </c>
      <c r="B144" s="32">
        <f>IFERROR(__xludf.DUMMYFUNCTION("FILTER(INFY.NS!H:H,INFY.NS!A:A=A144)"),0.018030375340323507)</f>
        <v>0.01803037534</v>
      </c>
      <c r="C144" s="32">
        <f>IFERROR(__xludf.DUMMYFUNCTION("FILTER(IRCTC.NS!H:H,IRCTC.NS!A:A=A144)"),0.0019053003870199102)</f>
        <v>0.001905300387</v>
      </c>
      <c r="D144" s="32">
        <f>IFERROR(__xludf.DUMMYFUNCTION("FILTER(TATAELXSI.NS!H:H,TATAELXSI.NS!A:A=A144)"),0.002620232853438271)</f>
        <v>0.002620232853</v>
      </c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1">
        <f>IFERROR(__xludf.DUMMYFUNCTION("""COMPUTED_VALUE"""),44554.0)</f>
        <v>44554</v>
      </c>
      <c r="B145" s="32">
        <f>IFERROR(__xludf.DUMMYFUNCTION("FILTER(INFY.NS!H:H,INFY.NS!A:A=A145)"),0.0031761542184688477)</f>
        <v>0.003176154218</v>
      </c>
      <c r="C145" s="32">
        <f>IFERROR(__xludf.DUMMYFUNCTION("FILTER(IRCTC.NS!H:H,IRCTC.NS!A:A=A145)"),-0.004932506232103291)</f>
        <v>-0.004932506232</v>
      </c>
      <c r="D145" s="32">
        <f>IFERROR(__xludf.DUMMYFUNCTION("FILTER(TATAELXSI.NS!H:H,TATAELXSI.NS!A:A=A145)"),0.001821161901293025)</f>
        <v>0.001821161901</v>
      </c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1">
        <f>IFERROR(__xludf.DUMMYFUNCTION("""COMPUTED_VALUE"""),44557.0)</f>
        <v>44557</v>
      </c>
      <c r="B146" s="32">
        <f>IFERROR(__xludf.DUMMYFUNCTION("FILTER(INFY.NS!H:H,INFY.NS!A:A=A146)"),0.0014220681513281623)</f>
        <v>0.001422068151</v>
      </c>
      <c r="C146" s="32">
        <f>IFERROR(__xludf.DUMMYFUNCTION("FILTER(IRCTC.NS!H:H,IRCTC.NS!A:A=A146)"),0.002150009524844566)</f>
        <v>0.002150009525</v>
      </c>
      <c r="D146" s="32">
        <f>IFERROR(__xludf.DUMMYFUNCTION("FILTER(TATAELXSI.NS!H:H,TATAELXSI.NS!A:A=A146)"),-0.010343556080712617)</f>
        <v>-0.01034355608</v>
      </c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1">
        <f>IFERROR(__xludf.DUMMYFUNCTION("""COMPUTED_VALUE"""),44558.0)</f>
        <v>44558</v>
      </c>
      <c r="B147" s="32">
        <f>IFERROR(__xludf.DUMMYFUNCTION("FILTER(INFY.NS!H:H,INFY.NS!A:A=A147)"),0.011708584904211308)</f>
        <v>0.0117085849</v>
      </c>
      <c r="C147" s="32">
        <f>IFERROR(__xludf.DUMMYFUNCTION("FILTER(IRCTC.NS!H:H,IRCTC.NS!A:A=A147)"),0.029201430274135878)</f>
        <v>0.02920143027</v>
      </c>
      <c r="D147" s="32">
        <f>IFERROR(__xludf.DUMMYFUNCTION("FILTER(TATAELXSI.NS!H:H,TATAELXSI.NS!A:A=A147)"),0.015613232392847896)</f>
        <v>0.01561323239</v>
      </c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1">
        <f>IFERROR(__xludf.DUMMYFUNCTION("""COMPUTED_VALUE"""),44559.0)</f>
        <v>44559</v>
      </c>
      <c r="B148" s="32">
        <f>IFERROR(__xludf.DUMMYFUNCTION("FILTER(INFY.NS!H:H,INFY.NS!A:A=A148)"),-0.0012976435381356227)</f>
        <v>-0.001297643538</v>
      </c>
      <c r="C148" s="32">
        <f>IFERROR(__xludf.DUMMYFUNCTION("FILTER(IRCTC.NS!H:H,IRCTC.NS!A:A=A148)"),-0.01638682570932256)</f>
        <v>-0.01638682571</v>
      </c>
      <c r="D148" s="32">
        <f>IFERROR(__xludf.DUMMYFUNCTION("FILTER(TATAELXSI.NS!H:H,TATAELXSI.NS!A:A=A148)"),0.03219330394549858)</f>
        <v>0.03219330395</v>
      </c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1">
        <f>IFERROR(__xludf.DUMMYFUNCTION("""COMPUTED_VALUE"""),44560.0)</f>
        <v>44560</v>
      </c>
      <c r="B149" s="32">
        <f>IFERROR(__xludf.DUMMYFUNCTION("FILTER(INFY.NS!H:H,INFY.NS!A:A=A149)"),0.0038715105991864473)</f>
        <v>0.003871510599</v>
      </c>
      <c r="C149" s="32">
        <f>IFERROR(__xludf.DUMMYFUNCTION("FILTER(IRCTC.NS!H:H,IRCTC.NS!A:A=A149)"),-0.019249987004179264)</f>
        <v>-0.019249987</v>
      </c>
      <c r="D149" s="32">
        <f>IFERROR(__xludf.DUMMYFUNCTION("FILTER(TATAELXSI.NS!H:H,TATAELXSI.NS!A:A=A149)"),0.018757302686440498)</f>
        <v>0.01875730269</v>
      </c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1">
        <f>IFERROR(__xludf.DUMMYFUNCTION("""COMPUTED_VALUE"""),44561.0)</f>
        <v>44561</v>
      </c>
      <c r="B150" s="32">
        <f>IFERROR(__xludf.DUMMYFUNCTION("FILTER(INFY.NS!H:H,INFY.NS!A:A=A150)"),-0.0026943371448683528)</f>
        <v>-0.002694337145</v>
      </c>
      <c r="C150" s="32">
        <f>IFERROR(__xludf.DUMMYFUNCTION("FILTER(IRCTC.NS!H:H,IRCTC.NS!A:A=A150)"),-0.0015006002400960385)</f>
        <v>-0.00150060024</v>
      </c>
      <c r="D150" s="32">
        <f>IFERROR(__xludf.DUMMYFUNCTION("FILTER(TATAELXSI.NS!H:H,TATAELXSI.NS!A:A=A150)"),0.009261903959764794)</f>
        <v>0.00926190396</v>
      </c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1">
        <f>IFERROR(__xludf.DUMMYFUNCTION("""COMPUTED_VALUE"""),44564.0)</f>
        <v>44564</v>
      </c>
      <c r="B151" s="32">
        <f>IFERROR(__xludf.DUMMYFUNCTION("FILTER(INFY.NS!H:H,INFY.NS!A:A=A151)"),0.005668097470533734)</f>
        <v>0.005668097471</v>
      </c>
      <c r="C151" s="32">
        <f>IFERROR(__xludf.DUMMYFUNCTION("FILTER(IRCTC.NS!H:H,IRCTC.NS!A:A=A151)"),0.01671178118425011)</f>
        <v>0.01671178118</v>
      </c>
      <c r="D151" s="32">
        <f>IFERROR(__xludf.DUMMYFUNCTION("FILTER(TATAELXSI.NS!H:H,TATAELXSI.NS!A:A=A151)"),0.004371148943421968)</f>
        <v>0.004371148943</v>
      </c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1">
        <f>IFERROR(__xludf.DUMMYFUNCTION("""COMPUTED_VALUE"""),44565.0)</f>
        <v>44565</v>
      </c>
      <c r="B152" s="32">
        <f>IFERROR(__xludf.DUMMYFUNCTION("FILTER(INFY.NS!H:H,INFY.NS!A:A=A152)"),3.6876031397678645E-4)</f>
        <v>0.000368760314</v>
      </c>
      <c r="C152" s="32">
        <f>IFERROR(__xludf.DUMMYFUNCTION("FILTER(IRCTC.NS!H:H,IRCTC.NS!A:A=A152)"),0.002838010916913253)</f>
        <v>0.002838010917</v>
      </c>
      <c r="D152" s="32">
        <f>IFERROR(__xludf.DUMMYFUNCTION("FILTER(TATAELXSI.NS!H:H,TATAELXSI.NS!A:A=A152)"),0.01426961210767892)</f>
        <v>0.01426961211</v>
      </c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1">
        <f>IFERROR(__xludf.DUMMYFUNCTION("""COMPUTED_VALUE"""),44566.0)</f>
        <v>44566</v>
      </c>
      <c r="B153" s="32">
        <f>IFERROR(__xludf.DUMMYFUNCTION("FILTER(INFY.NS!H:H,INFY.NS!A:A=A153)"),-0.028697048317021214)</f>
        <v>-0.02869704832</v>
      </c>
      <c r="C153" s="32">
        <f>IFERROR(__xludf.DUMMYFUNCTION("FILTER(IRCTC.NS!H:H,IRCTC.NS!A:A=A153)"),-0.008784873657707092)</f>
        <v>-0.008784873658</v>
      </c>
      <c r="D153" s="32">
        <f>IFERROR(__xludf.DUMMYFUNCTION("FILTER(TATAELXSI.NS!H:H,TATAELXSI.NS!A:A=A153)"),-0.0023336865877630125)</f>
        <v>-0.002333686588</v>
      </c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1">
        <f>IFERROR(__xludf.DUMMYFUNCTION("""COMPUTED_VALUE"""),44567.0)</f>
        <v>44567</v>
      </c>
      <c r="B154" s="32">
        <f>IFERROR(__xludf.DUMMYFUNCTION("FILTER(INFY.NS!H:H,INFY.NS!A:A=A154)"),-0.014555593012585506)</f>
        <v>-0.01455559301</v>
      </c>
      <c r="C154" s="32">
        <f>IFERROR(__xludf.DUMMYFUNCTION("FILTER(IRCTC.NS!H:H,IRCTC.NS!A:A=A154)"),0.0031525387528681423)</f>
        <v>0.003152538753</v>
      </c>
      <c r="D154" s="32">
        <f>IFERROR(__xludf.DUMMYFUNCTION("FILTER(TATAELXSI.NS!H:H,TATAELXSI.NS!A:A=A154)"),-0.01513296940724522)</f>
        <v>-0.01513296941</v>
      </c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1">
        <f>IFERROR(__xludf.DUMMYFUNCTION("""COMPUTED_VALUE"""),44568.0)</f>
        <v>44568</v>
      </c>
      <c r="B155" s="32">
        <f>IFERROR(__xludf.DUMMYFUNCTION("FILTER(INFY.NS!H:H,INFY.NS!A:A=A155)"),-0.0019254042830097867)</f>
        <v>-0.001925404283</v>
      </c>
      <c r="C155" s="32">
        <f>IFERROR(__xludf.DUMMYFUNCTION("FILTER(IRCTC.NS!H:H,IRCTC.NS!A:A=A155)"),0.020990230655203102)</f>
        <v>0.02099023066</v>
      </c>
      <c r="D155" s="32">
        <f>IFERROR(__xludf.DUMMYFUNCTION("FILTER(TATAELXSI.NS!H:H,TATAELXSI.NS!A:A=A155)"),-0.012598854603566268)</f>
        <v>-0.0125988546</v>
      </c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1">
        <f>IFERROR(__xludf.DUMMYFUNCTION("""COMPUTED_VALUE"""),44571.0)</f>
        <v>44571</v>
      </c>
      <c r="B156" s="32">
        <f>IFERROR(__xludf.DUMMYFUNCTION("FILTER(INFY.NS!H:H,INFY.NS!A:A=A156)"),0.02009036543877647)</f>
        <v>0.02009036544</v>
      </c>
      <c r="C156" s="32">
        <f>IFERROR(__xludf.DUMMYFUNCTION("FILTER(IRCTC.NS!H:H,IRCTC.NS!A:A=A156)"),0.014518845259043912)</f>
        <v>0.01451884526</v>
      </c>
      <c r="D156" s="32">
        <f>IFERROR(__xludf.DUMMYFUNCTION("FILTER(TATAELXSI.NS!H:H,TATAELXSI.NS!A:A=A156)"),0.033347483253486895)</f>
        <v>0.03334748325</v>
      </c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1">
        <f>IFERROR(__xludf.DUMMYFUNCTION("""COMPUTED_VALUE"""),44572.0)</f>
        <v>44572</v>
      </c>
      <c r="B157" s="32">
        <f>IFERROR(__xludf.DUMMYFUNCTION("FILTER(INFY.NS!H:H,INFY.NS!A:A=A157)"),0.0026205462650276752)</f>
        <v>0.002620546265</v>
      </c>
      <c r="C157" s="32">
        <f>IFERROR(__xludf.DUMMYFUNCTION("FILTER(IRCTC.NS!H:H,IRCTC.NS!A:A=A157)"),-0.012650967826651063)</f>
        <v>-0.01265096783</v>
      </c>
      <c r="D157" s="32">
        <f>IFERROR(__xludf.DUMMYFUNCTION("FILTER(TATAELXSI.NS!H:H,TATAELXSI.NS!A:A=A157)"),-0.009043992230274215)</f>
        <v>-0.00904399223</v>
      </c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1">
        <f>IFERROR(__xludf.DUMMYFUNCTION("""COMPUTED_VALUE"""),44573.0)</f>
        <v>44573</v>
      </c>
      <c r="B158" s="32">
        <f>IFERROR(__xludf.DUMMYFUNCTION("FILTER(INFY.NS!H:H,INFY.NS!A:A=A158)"),0.011775153741433378)</f>
        <v>0.01177515374</v>
      </c>
      <c r="C158" s="32">
        <f>IFERROR(__xludf.DUMMYFUNCTION("FILTER(IRCTC.NS!H:H,IRCTC.NS!A:A=A158)"),-0.001333515732833549)</f>
        <v>-0.001333515733</v>
      </c>
      <c r="D158" s="32">
        <f>IFERROR(__xludf.DUMMYFUNCTION("FILTER(TATAELXSI.NS!H:H,TATAELXSI.NS!A:A=A158)"),0.029526431993264556)</f>
        <v>0.02952643199</v>
      </c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1">
        <f>IFERROR(__xludf.DUMMYFUNCTION("""COMPUTED_VALUE"""),44574.0)</f>
        <v>44574</v>
      </c>
      <c r="B159" s="32">
        <f>IFERROR(__xludf.DUMMYFUNCTION("FILTER(INFY.NS!H:H,INFY.NS!A:A=A159)"),0.010306585264599625)</f>
        <v>0.01030658526</v>
      </c>
      <c r="C159" s="32">
        <f>IFERROR(__xludf.DUMMYFUNCTION("FILTER(IRCTC.NS!H:H,IRCTC.NS!A:A=A159)"),0.008011638896952139)</f>
        <v>0.008011638897</v>
      </c>
      <c r="D159" s="32">
        <f>IFERROR(__xludf.DUMMYFUNCTION("FILTER(TATAELXSI.NS!H:H,TATAELXSI.NS!A:A=A159)"),0.04704697296239786)</f>
        <v>0.04704697296</v>
      </c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1">
        <f>IFERROR(__xludf.DUMMYFUNCTION("""COMPUTED_VALUE"""),44575.0)</f>
        <v>44575</v>
      </c>
      <c r="B160" s="32">
        <f>IFERROR(__xludf.DUMMYFUNCTION("FILTER(INFY.NS!H:H,INFY.NS!A:A=A160)"),0.01716044188060859)</f>
        <v>0.01716044188</v>
      </c>
      <c r="C160" s="32">
        <f>IFERROR(__xludf.DUMMYFUNCTION("FILTER(IRCTC.NS!H:H,IRCTC.NS!A:A=A160)"),0.03979725513432686)</f>
        <v>0.03979725513</v>
      </c>
      <c r="D160" s="32">
        <f>IFERROR(__xludf.DUMMYFUNCTION("FILTER(TATAELXSI.NS!H:H,TATAELXSI.NS!A:A=A160)"),-0.014019604014527278)</f>
        <v>-0.01401960401</v>
      </c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1">
        <f>IFERROR(__xludf.DUMMYFUNCTION("""COMPUTED_VALUE"""),44578.0)</f>
        <v>44578</v>
      </c>
      <c r="B161" s="32">
        <f>IFERROR(__xludf.DUMMYFUNCTION("FILTER(INFY.NS!H:H,INFY.NS!A:A=A161)"),0.005260851647581035)</f>
        <v>0.005260851648</v>
      </c>
      <c r="C161" s="32">
        <f>IFERROR(__xludf.DUMMYFUNCTION("FILTER(IRCTC.NS!H:H,IRCTC.NS!A:A=A161)"),-0.00592670425266378)</f>
        <v>-0.005926704253</v>
      </c>
      <c r="D161" s="32">
        <f>IFERROR(__xludf.DUMMYFUNCTION("FILTER(TATAELXSI.NS!H:H,TATAELXSI.NS!A:A=A161)"),0.013640699936628626)</f>
        <v>0.01364069994</v>
      </c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1">
        <f>IFERROR(__xludf.DUMMYFUNCTION("""COMPUTED_VALUE"""),44579.0)</f>
        <v>44579</v>
      </c>
      <c r="B162" s="32">
        <f>IFERROR(__xludf.DUMMYFUNCTION("FILTER(INFY.NS!H:H,INFY.NS!A:A=A162)"),-0.009667440061871617)</f>
        <v>-0.009667440062</v>
      </c>
      <c r="C162" s="32">
        <f>IFERROR(__xludf.DUMMYFUNCTION("FILTER(IRCTC.NS!H:H,IRCTC.NS!A:A=A162)"),-0.04039672476683724)</f>
        <v>-0.04039672477</v>
      </c>
      <c r="D162" s="32">
        <f>IFERROR(__xludf.DUMMYFUNCTION("FILTER(TATAELXSI.NS!H:H,TATAELXSI.NS!A:A=A162)"),-0.003407307273422442)</f>
        <v>-0.003407307273</v>
      </c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1">
        <f>IFERROR(__xludf.DUMMYFUNCTION("""COMPUTED_VALUE"""),44580.0)</f>
        <v>44580</v>
      </c>
      <c r="B163" s="32">
        <f>IFERROR(__xludf.DUMMYFUNCTION("FILTER(INFY.NS!H:H,INFY.NS!A:A=A163)"),-0.027957803462189276)</f>
        <v>-0.02795780346</v>
      </c>
      <c r="C163" s="32">
        <f>IFERROR(__xludf.DUMMYFUNCTION("FILTER(IRCTC.NS!H:H,IRCTC.NS!A:A=A163)"),0.017245426099048045)</f>
        <v>0.0172454261</v>
      </c>
      <c r="D163" s="32">
        <f>IFERROR(__xludf.DUMMYFUNCTION("FILTER(TATAELXSI.NS!H:H,TATAELXSI.NS!A:A=A163)"),0.09424748104359255)</f>
        <v>0.09424748104</v>
      </c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1">
        <f>IFERROR(__xludf.DUMMYFUNCTION("""COMPUTED_VALUE"""),44581.0)</f>
        <v>44581</v>
      </c>
      <c r="B164" s="32">
        <f>IFERROR(__xludf.DUMMYFUNCTION("FILTER(INFY.NS!H:H,INFY.NS!A:A=A164)"),-0.023218498091799086)</f>
        <v>-0.02321849809</v>
      </c>
      <c r="C164" s="32">
        <f>IFERROR(__xludf.DUMMYFUNCTION("FILTER(IRCTC.NS!H:H,IRCTC.NS!A:A=A164)"),0.0050802122712911325)</f>
        <v>0.005080212271</v>
      </c>
      <c r="D164" s="32">
        <f>IFERROR(__xludf.DUMMYFUNCTION("FILTER(TATAELXSI.NS!H:H,TATAELXSI.NS!A:A=A164)"),0.0649539854527214)</f>
        <v>0.06495398545</v>
      </c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1">
        <f>IFERROR(__xludf.DUMMYFUNCTION("""COMPUTED_VALUE"""),44582.0)</f>
        <v>44582</v>
      </c>
      <c r="B165" s="32">
        <f>IFERROR(__xludf.DUMMYFUNCTION("FILTER(INFY.NS!H:H,INFY.NS!A:A=A165)"),-0.020836760991940168)</f>
        <v>-0.02083676099</v>
      </c>
      <c r="C165" s="32">
        <f>IFERROR(__xludf.DUMMYFUNCTION("FILTER(IRCTC.NS!H:H,IRCTC.NS!A:A=A165)"),-0.021240358348740815)</f>
        <v>-0.02124035835</v>
      </c>
      <c r="D165" s="32">
        <f>IFERROR(__xludf.DUMMYFUNCTION("FILTER(TATAELXSI.NS!H:H,TATAELXSI.NS!A:A=A165)"),-0.03092006459509012)</f>
        <v>-0.0309200646</v>
      </c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1">
        <f>IFERROR(__xludf.DUMMYFUNCTION("""COMPUTED_VALUE"""),44585.0)</f>
        <v>44585</v>
      </c>
      <c r="B166" s="32">
        <f>IFERROR(__xludf.DUMMYFUNCTION("FILTER(INFY.NS!H:H,INFY.NS!A:A=A166)"),-0.027384164944741104)</f>
        <v>-0.02738416494</v>
      </c>
      <c r="C166" s="32">
        <f>IFERROR(__xludf.DUMMYFUNCTION("FILTER(IRCTC.NS!H:H,IRCTC.NS!A:A=A166)"),-0.060229805358294496)</f>
        <v>-0.06022980536</v>
      </c>
      <c r="D166" s="32">
        <f>IFERROR(__xludf.DUMMYFUNCTION("FILTER(TATAELXSI.NS!H:H,TATAELXSI.NS!A:A=A166)"),-0.022220061336687826)</f>
        <v>-0.02222006134</v>
      </c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1">
        <f>IFERROR(__xludf.DUMMYFUNCTION("""COMPUTED_VALUE"""),44586.0)</f>
        <v>44586</v>
      </c>
      <c r="B167" s="32">
        <f>IFERROR(__xludf.DUMMYFUNCTION("FILTER(INFY.NS!H:H,INFY.NS!A:A=A167)"),-0.008435067127292507)</f>
        <v>-0.008435067127</v>
      </c>
      <c r="C167" s="32">
        <f>IFERROR(__xludf.DUMMYFUNCTION("FILTER(IRCTC.NS!H:H,IRCTC.NS!A:A=A167)"),0.0248209882660557)</f>
        <v>0.02482098827</v>
      </c>
      <c r="D167" s="32">
        <f>IFERROR(__xludf.DUMMYFUNCTION("FILTER(TATAELXSI.NS!H:H,TATAELXSI.NS!A:A=A167)"),0.019671338952673582)</f>
        <v>0.01967133895</v>
      </c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1">
        <f>IFERROR(__xludf.DUMMYFUNCTION("""COMPUTED_VALUE"""),44588.0)</f>
        <v>44588</v>
      </c>
      <c r="B168" s="32">
        <f>IFERROR(__xludf.DUMMYFUNCTION("FILTER(INFY.NS!H:H,INFY.NS!A:A=A168)"),-0.025288184765022575)</f>
        <v>-0.02528818477</v>
      </c>
      <c r="C168" s="32">
        <f>IFERROR(__xludf.DUMMYFUNCTION("FILTER(IRCTC.NS!H:H,IRCTC.NS!A:A=A168)"),-0.019399970519822573)</f>
        <v>-0.01939997052</v>
      </c>
      <c r="D168" s="32">
        <f>IFERROR(__xludf.DUMMYFUNCTION("FILTER(TATAELXSI.NS!H:H,TATAELXSI.NS!A:A=A168)"),-0.02856171821797208)</f>
        <v>-0.02856171822</v>
      </c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1">
        <f>IFERROR(__xludf.DUMMYFUNCTION("""COMPUTED_VALUE"""),44589.0)</f>
        <v>44589</v>
      </c>
      <c r="B169" s="32">
        <f>IFERROR(__xludf.DUMMYFUNCTION("FILTER(INFY.NS!H:H,INFY.NS!A:A=A169)"),0.004527567680603902)</f>
        <v>0.004527567681</v>
      </c>
      <c r="C169" s="32">
        <f>IFERROR(__xludf.DUMMYFUNCTION("FILTER(IRCTC.NS!H:H,IRCTC.NS!A:A=A169)"),0.03784712270111263)</f>
        <v>0.0378471227</v>
      </c>
      <c r="D169" s="32">
        <f>IFERROR(__xludf.DUMMYFUNCTION("FILTER(TATAELXSI.NS!H:H,TATAELXSI.NS!A:A=A169)"),0.02996781011834351)</f>
        <v>0.02996781012</v>
      </c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1">
        <f>IFERROR(__xludf.DUMMYFUNCTION("""COMPUTED_VALUE"""),44592.0)</f>
        <v>44592</v>
      </c>
      <c r="B170" s="32">
        <f>IFERROR(__xludf.DUMMYFUNCTION("FILTER(INFY.NS!H:H,INFY.NS!A:A=A170)"),0.029652473877933353)</f>
        <v>0.02965247388</v>
      </c>
      <c r="C170" s="32">
        <f>IFERROR(__xludf.DUMMYFUNCTION("FILTER(IRCTC.NS!H:H,IRCTC.NS!A:A=A170)"),0.027705451888386072)</f>
        <v>0.02770545189</v>
      </c>
      <c r="D170" s="32">
        <f>IFERROR(__xludf.DUMMYFUNCTION("FILTER(TATAELXSI.NS!H:H,TATAELXSI.NS!A:A=A170)"),0.05905489956180505)</f>
        <v>0.05905489956</v>
      </c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1">
        <f>IFERROR(__xludf.DUMMYFUNCTION("""COMPUTED_VALUE"""),44593.0)</f>
        <v>44593</v>
      </c>
      <c r="B171" s="32">
        <f>IFERROR(__xludf.DUMMYFUNCTION("FILTER(INFY.NS!H:H,INFY.NS!A:A=A171)"),0.020648599822475106)</f>
        <v>0.02064859982</v>
      </c>
      <c r="C171" s="32">
        <f>IFERROR(__xludf.DUMMYFUNCTION("FILTER(IRCTC.NS!H:H,IRCTC.NS!A:A=A171)"),-0.012787990783410103)</f>
        <v>-0.01278799078</v>
      </c>
      <c r="D171" s="32">
        <f>IFERROR(__xludf.DUMMYFUNCTION("FILTER(TATAELXSI.NS!H:H,TATAELXSI.NS!A:A=A171)"),-0.018731884054799024)</f>
        <v>-0.01873188405</v>
      </c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1">
        <f>IFERROR(__xludf.DUMMYFUNCTION("""COMPUTED_VALUE"""),44594.0)</f>
        <v>44594</v>
      </c>
      <c r="B172" s="32">
        <f>IFERROR(__xludf.DUMMYFUNCTION("FILTER(INFY.NS!H:H,INFY.NS!A:A=A172)"),0.008492946916760603)</f>
        <v>0.008492946917</v>
      </c>
      <c r="C172" s="32">
        <f>IFERROR(__xludf.DUMMYFUNCTION("FILTER(IRCTC.NS!H:H,IRCTC.NS!A:A=A172)"),0.004667989132883955)</f>
        <v>0.004667989133</v>
      </c>
      <c r="D172" s="32">
        <f>IFERROR(__xludf.DUMMYFUNCTION("FILTER(TATAELXSI.NS!H:H,TATAELXSI.NS!A:A=A172)"),0.0023644013969857094)</f>
        <v>0.002364401397</v>
      </c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1">
        <f>IFERROR(__xludf.DUMMYFUNCTION("""COMPUTED_VALUE"""),44595.0)</f>
        <v>44595</v>
      </c>
      <c r="B173" s="32">
        <f>IFERROR(__xludf.DUMMYFUNCTION("FILTER(INFY.NS!H:H,INFY.NS!A:A=A173)"),-0.02716687798780432)</f>
        <v>-0.02716687799</v>
      </c>
      <c r="C173" s="32">
        <f>IFERROR(__xludf.DUMMYFUNCTION("FILTER(IRCTC.NS!H:H,IRCTC.NS!A:A=A173)"),-2.9039376586194635E-4)</f>
        <v>-0.0002903937659</v>
      </c>
      <c r="D173" s="32">
        <f>IFERROR(__xludf.DUMMYFUNCTION("FILTER(TATAELXSI.NS!H:H,TATAELXSI.NS!A:A=A173)"),-0.025212148613431355)</f>
        <v>-0.02521214861</v>
      </c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1">
        <f>IFERROR(__xludf.DUMMYFUNCTION("""COMPUTED_VALUE"""),44596.0)</f>
        <v>44596</v>
      </c>
      <c r="B174" s="32">
        <f>IFERROR(__xludf.DUMMYFUNCTION("FILTER(INFY.NS!H:H,INFY.NS!A:A=A174)"),0.0014666974939644233)</f>
        <v>0.001466697494</v>
      </c>
      <c r="C174" s="32">
        <f>IFERROR(__xludf.DUMMYFUNCTION("FILTER(IRCTC.NS!H:H,IRCTC.NS!A:A=A174)"),-0.005693399016276597)</f>
        <v>-0.005693399016</v>
      </c>
      <c r="D174" s="32">
        <f>IFERROR(__xludf.DUMMYFUNCTION("FILTER(TATAELXSI.NS!H:H,TATAELXSI.NS!A:A=A174)"),0.017953440945531175)</f>
        <v>0.01795344095</v>
      </c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1">
        <f>IFERROR(__xludf.DUMMYFUNCTION("""COMPUTED_VALUE"""),44599.0)</f>
        <v>44599</v>
      </c>
      <c r="B175" s="32">
        <f>IFERROR(__xludf.DUMMYFUNCTION("FILTER(INFY.NS!H:H,INFY.NS!A:A=A175)"),-0.014990509654685085)</f>
        <v>-0.01499050965</v>
      </c>
      <c r="C175" s="32">
        <f>IFERROR(__xludf.DUMMYFUNCTION("FILTER(IRCTC.NS!H:H,IRCTC.NS!A:A=A175)"),-0.023546624598305615)</f>
        <v>-0.0235466246</v>
      </c>
      <c r="D175" s="32">
        <f>IFERROR(__xludf.DUMMYFUNCTION("FILTER(TATAELXSI.NS!H:H,TATAELXSI.NS!A:A=A175)"),0.02899068064502515)</f>
        <v>0.02899068065</v>
      </c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1">
        <f>IFERROR(__xludf.DUMMYFUNCTION("""COMPUTED_VALUE"""),44600.0)</f>
        <v>44600</v>
      </c>
      <c r="B176" s="32">
        <f>IFERROR(__xludf.DUMMYFUNCTION("FILTER(INFY.NS!H:H,INFY.NS!A:A=A176)"),0.0013411364431486557)</f>
        <v>0.001341136443</v>
      </c>
      <c r="C176" s="32">
        <f>IFERROR(__xludf.DUMMYFUNCTION("FILTER(IRCTC.NS!H:H,IRCTC.NS!A:A=A176)"),0.002932039337444901)</f>
        <v>0.002932039337</v>
      </c>
      <c r="D176" s="32">
        <f>IFERROR(__xludf.DUMMYFUNCTION("FILTER(TATAELXSI.NS!H:H,TATAELXSI.NS!A:A=A176)"),-0.0032002025672658247)</f>
        <v>-0.003200202567</v>
      </c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1">
        <f>IFERROR(__xludf.DUMMYFUNCTION("""COMPUTED_VALUE"""),44601.0)</f>
        <v>44601</v>
      </c>
      <c r="B177" s="32">
        <f>IFERROR(__xludf.DUMMYFUNCTION("FILTER(INFY.NS!H:H,INFY.NS!A:A=A177)"),0.011646188452417612)</f>
        <v>0.01164618845</v>
      </c>
      <c r="C177" s="32">
        <f>IFERROR(__xludf.DUMMYFUNCTION("FILTER(IRCTC.NS!H:H,IRCTC.NS!A:A=A177)"),0.014199658934903572)</f>
        <v>0.01419965893</v>
      </c>
      <c r="D177" s="32">
        <f>IFERROR(__xludf.DUMMYFUNCTION("FILTER(TATAELXSI.NS!H:H,TATAELXSI.NS!A:A=A177)"),0.006841233301323546)</f>
        <v>0.006841233301</v>
      </c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1">
        <f>IFERROR(__xludf.DUMMYFUNCTION("""COMPUTED_VALUE"""),44602.0)</f>
        <v>44602</v>
      </c>
      <c r="B178" s="32">
        <f>IFERROR(__xludf.DUMMYFUNCTION("FILTER(INFY.NS!H:H,INFY.NS!A:A=A178)"),0.01859202560812224)</f>
        <v>0.01859202561</v>
      </c>
      <c r="C178" s="32">
        <f>IFERROR(__xludf.DUMMYFUNCTION("FILTER(IRCTC.NS!H:H,IRCTC.NS!A:A=A178)"),-0.004764971989905666)</f>
        <v>-0.00476497199</v>
      </c>
      <c r="D178" s="32">
        <f>IFERROR(__xludf.DUMMYFUNCTION("FILTER(TATAELXSI.NS!H:H,TATAELXSI.NS!A:A=A178)"),-0.008359755255141462)</f>
        <v>-0.008359755255</v>
      </c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1">
        <f>IFERROR(__xludf.DUMMYFUNCTION("""COMPUTED_VALUE"""),44603.0)</f>
        <v>44603</v>
      </c>
      <c r="B179" s="32">
        <f>IFERROR(__xludf.DUMMYFUNCTION("FILTER(INFY.NS!H:H,INFY.NS!A:A=A179)"),-0.027266049194385838)</f>
        <v>-0.02726604919</v>
      </c>
      <c r="C179" s="32">
        <f>IFERROR(__xludf.DUMMYFUNCTION("FILTER(IRCTC.NS!H:H,IRCTC.NS!A:A=A179)"),-0.017909946294078872)</f>
        <v>-0.01790994629</v>
      </c>
      <c r="D179" s="32">
        <f>IFERROR(__xludf.DUMMYFUNCTION("FILTER(TATAELXSI.NS!H:H,TATAELXSI.NS!A:A=A179)"),-0.027092429552441198)</f>
        <v>-0.02709242955</v>
      </c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1">
        <f>IFERROR(__xludf.DUMMYFUNCTION("""COMPUTED_VALUE"""),44606.0)</f>
        <v>44606</v>
      </c>
      <c r="B180" s="32">
        <f>IFERROR(__xludf.DUMMYFUNCTION("FILTER(INFY.NS!H:H,INFY.NS!A:A=A180)"),-0.022743791527493486)</f>
        <v>-0.02274379153</v>
      </c>
      <c r="C180" s="32">
        <f>IFERROR(__xludf.DUMMYFUNCTION("FILTER(IRCTC.NS!H:H,IRCTC.NS!A:A=A180)"),-0.03900093168823356)</f>
        <v>-0.03900093169</v>
      </c>
      <c r="D180" s="32">
        <f>IFERROR(__xludf.DUMMYFUNCTION("FILTER(TATAELXSI.NS!H:H,TATAELXSI.NS!A:A=A180)"),-0.06573077667870443)</f>
        <v>-0.06573077668</v>
      </c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1">
        <f>IFERROR(__xludf.DUMMYFUNCTION("""COMPUTED_VALUE"""),44607.0)</f>
        <v>44607</v>
      </c>
      <c r="B181" s="32">
        <f>IFERROR(__xludf.DUMMYFUNCTION("FILTER(INFY.NS!H:H,INFY.NS!A:A=A181)"),0.03331949270755861)</f>
        <v>0.03331949271</v>
      </c>
      <c r="C181" s="32">
        <f>IFERROR(__xludf.DUMMYFUNCTION("FILTER(IRCTC.NS!H:H,IRCTC.NS!A:A=A181)"),0.027744754388268473)</f>
        <v>0.02774475439</v>
      </c>
      <c r="D181" s="32">
        <f>IFERROR(__xludf.DUMMYFUNCTION("FILTER(TATAELXSI.NS!H:H,TATAELXSI.NS!A:A=A181)"),0.02889445682368032)</f>
        <v>0.02889445682</v>
      </c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1">
        <f>IFERROR(__xludf.DUMMYFUNCTION("""COMPUTED_VALUE"""),44608.0)</f>
        <v>44608</v>
      </c>
      <c r="B182" s="32">
        <f>IFERROR(__xludf.DUMMYFUNCTION("FILTER(INFY.NS!H:H,INFY.NS!A:A=A182)"),-0.002847663454623935)</f>
        <v>-0.002847663455</v>
      </c>
      <c r="C182" s="32">
        <f>IFERROR(__xludf.DUMMYFUNCTION("FILTER(IRCTC.NS!H:H,IRCTC.NS!A:A=A182)"),0.005484460694698354)</f>
        <v>0.005484460695</v>
      </c>
      <c r="D182" s="32">
        <f>IFERROR(__xludf.DUMMYFUNCTION("FILTER(TATAELXSI.NS!H:H,TATAELXSI.NS!A:A=A182)"),-0.015827452779315705)</f>
        <v>-0.01582745278</v>
      </c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1">
        <f>IFERROR(__xludf.DUMMYFUNCTION("""COMPUTED_VALUE"""),44609.0)</f>
        <v>44609</v>
      </c>
      <c r="B183" s="32">
        <f>IFERROR(__xludf.DUMMYFUNCTION("FILTER(INFY.NS!H:H,INFY.NS!A:A=A183)"),-0.004903940321760183)</f>
        <v>-0.004903940322</v>
      </c>
      <c r="C183" s="32">
        <f>IFERROR(__xludf.DUMMYFUNCTION("FILTER(IRCTC.NS!H:H,IRCTC.NS!A:A=A183)"),-0.003818210909090946)</f>
        <v>-0.003818210909</v>
      </c>
      <c r="D183" s="32">
        <f>IFERROR(__xludf.DUMMYFUNCTION("FILTER(TATAELXSI.NS!H:H,TATAELXSI.NS!A:A=A183)"),-0.008180324355218975)</f>
        <v>-0.008180324355</v>
      </c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1">
        <f>IFERROR(__xludf.DUMMYFUNCTION("""COMPUTED_VALUE"""),44610.0)</f>
        <v>44610</v>
      </c>
      <c r="B184" s="32">
        <f>IFERROR(__xludf.DUMMYFUNCTION("FILTER(INFY.NS!H:H,INFY.NS!A:A=A184)"),-0.010349082498199703)</f>
        <v>-0.0103490825</v>
      </c>
      <c r="C184" s="32">
        <f>IFERROR(__xludf.DUMMYFUNCTION("FILTER(IRCTC.NS!H:H,IRCTC.NS!A:A=A184)"),-0.0066922189701444975)</f>
        <v>-0.00669221897</v>
      </c>
      <c r="D184" s="32">
        <f>IFERROR(__xludf.DUMMYFUNCTION("FILTER(TATAELXSI.NS!H:H,TATAELXSI.NS!A:A=A184)"),0.00637493246893571)</f>
        <v>0.006374932469</v>
      </c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1">
        <f>IFERROR(__xludf.DUMMYFUNCTION("""COMPUTED_VALUE"""),44613.0)</f>
        <v>44613</v>
      </c>
      <c r="B185" s="32">
        <f>IFERROR(__xludf.DUMMYFUNCTION("FILTER(INFY.NS!H:H,INFY.NS!A:A=A185)"),0.013913706131856)</f>
        <v>0.01391370613</v>
      </c>
      <c r="C185" s="32">
        <f>IFERROR(__xludf.DUMMYFUNCTION("FILTER(IRCTC.NS!H:H,IRCTC.NS!A:A=A185)"),-0.0158632355983556)</f>
        <v>-0.0158632356</v>
      </c>
      <c r="D185" s="32">
        <f>IFERROR(__xludf.DUMMYFUNCTION("FILTER(TATAELXSI.NS!H:H,TATAELXSI.NS!A:A=A185)"),-0.03614630305633097)</f>
        <v>-0.03614630306</v>
      </c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1">
        <f>IFERROR(__xludf.DUMMYFUNCTION("""COMPUTED_VALUE"""),44614.0)</f>
        <v>44614</v>
      </c>
      <c r="B186" s="32">
        <f>IFERROR(__xludf.DUMMYFUNCTION("FILTER(INFY.NS!H:H,INFY.NS!A:A=A186)"),0.002108987752551172)</f>
        <v>0.002108987753</v>
      </c>
      <c r="C186" s="32">
        <f>IFERROR(__xludf.DUMMYFUNCTION("FILTER(IRCTC.NS!H:H,IRCTC.NS!A:A=A186)"),-0.017177056992470366)</f>
        <v>-0.01717705699</v>
      </c>
      <c r="D186" s="32">
        <f>IFERROR(__xludf.DUMMYFUNCTION("FILTER(TATAELXSI.NS!H:H,TATAELXSI.NS!A:A=A186)"),-0.025568082875389888)</f>
        <v>-0.02556808288</v>
      </c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1">
        <f>IFERROR(__xludf.DUMMYFUNCTION("""COMPUTED_VALUE"""),44615.0)</f>
        <v>44615</v>
      </c>
      <c r="B187" s="32">
        <f>IFERROR(__xludf.DUMMYFUNCTION("FILTER(INFY.NS!H:H,INFY.NS!A:A=A187)"),0.004900971613355619)</f>
        <v>0.004900971613</v>
      </c>
      <c r="C187" s="32">
        <f>IFERROR(__xludf.DUMMYFUNCTION("FILTER(IRCTC.NS!H:H,IRCTC.NS!A:A=A187)"),0.03134498575516674)</f>
        <v>0.03134498576</v>
      </c>
      <c r="D187" s="32">
        <f>IFERROR(__xludf.DUMMYFUNCTION("FILTER(TATAELXSI.NS!H:H,TATAELXSI.NS!A:A=A187)"),0.0065387718602315965)</f>
        <v>0.00653877186</v>
      </c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1">
        <f>IFERROR(__xludf.DUMMYFUNCTION("""COMPUTED_VALUE"""),44616.0)</f>
        <v>44616</v>
      </c>
      <c r="B188" s="32">
        <f>IFERROR(__xludf.DUMMYFUNCTION("FILTER(INFY.NS!H:H,INFY.NS!A:A=A188)"),-0.03712307593364533)</f>
        <v>-0.03712307593</v>
      </c>
      <c r="C188" s="32">
        <f>IFERROR(__xludf.DUMMYFUNCTION("FILTER(IRCTC.NS!H:H,IRCTC.NS!A:A=A188)"),-0.09369434548862808)</f>
        <v>-0.09369434549</v>
      </c>
      <c r="D188" s="32">
        <f>IFERROR(__xludf.DUMMYFUNCTION("FILTER(TATAELXSI.NS!H:H,TATAELXSI.NS!A:A=A188)"),-0.08020441446148023)</f>
        <v>-0.08020441446</v>
      </c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1">
        <f>IFERROR(__xludf.DUMMYFUNCTION("""COMPUTED_VALUE"""),44617.0)</f>
        <v>44617</v>
      </c>
      <c r="B189" s="32">
        <f>IFERROR(__xludf.DUMMYFUNCTION("FILTER(INFY.NS!H:H,INFY.NS!A:A=A189)"),0.009802432300295899)</f>
        <v>0.0098024323</v>
      </c>
      <c r="C189" s="32">
        <f>IFERROR(__xludf.DUMMYFUNCTION("FILTER(IRCTC.NS!H:H,IRCTC.NS!A:A=A189)"),0.08393742023880368)</f>
        <v>0.08393742024</v>
      </c>
      <c r="D189" s="32">
        <f>IFERROR(__xludf.DUMMYFUNCTION("FILTER(TATAELXSI.NS!H:H,TATAELXSI.NS!A:A=A189)"),0.07007620801971184)</f>
        <v>0.07007620802</v>
      </c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1">
        <f>IFERROR(__xludf.DUMMYFUNCTION("""COMPUTED_VALUE"""),44620.0)</f>
        <v>44620</v>
      </c>
      <c r="B190" s="32">
        <f>IFERROR(__xludf.DUMMYFUNCTION("FILTER(INFY.NS!H:H,INFY.NS!A:A=A190)"),0.012392305144231869)</f>
        <v>0.01239230514</v>
      </c>
      <c r="C190" s="32">
        <f>IFERROR(__xludf.DUMMYFUNCTION("FILTER(IRCTC.NS!H:H,IRCTC.NS!A:A=A190)"),0.011687469999999962)</f>
        <v>0.01168747</v>
      </c>
      <c r="D190" s="32">
        <f>IFERROR(__xludf.DUMMYFUNCTION("FILTER(TATAELXSI.NS!H:H,TATAELXSI.NS!A:A=A190)"),-0.010446540559252296)</f>
        <v>-0.01044654056</v>
      </c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1">
        <f>IFERROR(__xludf.DUMMYFUNCTION("""COMPUTED_VALUE"""),44622.0)</f>
        <v>44622</v>
      </c>
      <c r="B191" s="32">
        <f>IFERROR(__xludf.DUMMYFUNCTION("FILTER(INFY.NS!H:H,INFY.NS!A:A=A191)"),-0.0074609041612623715)</f>
        <v>-0.007460904161</v>
      </c>
      <c r="C191" s="32">
        <f>IFERROR(__xludf.DUMMYFUNCTION("FILTER(IRCTC.NS!H:H,IRCTC.NS!A:A=A191)"),-6.795428631729333E-4)</f>
        <v>-0.0006795428632</v>
      </c>
      <c r="D191" s="32">
        <f>IFERROR(__xludf.DUMMYFUNCTION("FILTER(TATAELXSI.NS!H:H,TATAELXSI.NS!A:A=A191)"),0.020670523251364457)</f>
        <v>0.02067052325</v>
      </c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1">
        <f>IFERROR(__xludf.DUMMYFUNCTION("""COMPUTED_VALUE"""),44623.0)</f>
        <v>44623</v>
      </c>
      <c r="B192" s="32">
        <f>IFERROR(__xludf.DUMMYFUNCTION("FILTER(INFY.NS!H:H,INFY.NS!A:A=A192)"),0.010600144750172031)</f>
        <v>0.01060014475</v>
      </c>
      <c r="C192" s="32">
        <f>IFERROR(__xludf.DUMMYFUNCTION("FILTER(IRCTC.NS!H:H,IRCTC.NS!A:A=A192)"),-0.011313012037284988)</f>
        <v>-0.01131301204</v>
      </c>
      <c r="D192" s="32">
        <f>IFERROR(__xludf.DUMMYFUNCTION("FILTER(TATAELXSI.NS!H:H,TATAELXSI.NS!A:A=A192)"),0.01443303723105689)</f>
        <v>0.01443303723</v>
      </c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1">
        <f>IFERROR(__xludf.DUMMYFUNCTION("""COMPUTED_VALUE"""),44624.0)</f>
        <v>44624</v>
      </c>
      <c r="B193" s="32">
        <f>IFERROR(__xludf.DUMMYFUNCTION("FILTER(INFY.NS!H:H,INFY.NS!A:A=A193)"),0.001423757465305026)</f>
        <v>0.001423757465</v>
      </c>
      <c r="C193" s="32">
        <f>IFERROR(__xludf.DUMMYFUNCTION("FILTER(IRCTC.NS!H:H,IRCTC.NS!A:A=A193)"),-0.0655286968390062)</f>
        <v>-0.06552869684</v>
      </c>
      <c r="D193" s="32">
        <f>IFERROR(__xludf.DUMMYFUNCTION("FILTER(TATAELXSI.NS!H:H,TATAELXSI.NS!A:A=A193)"),0.002109796219175545)</f>
        <v>0.002109796219</v>
      </c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1">
        <f>IFERROR(__xludf.DUMMYFUNCTION("""COMPUTED_VALUE"""),44627.0)</f>
        <v>44627</v>
      </c>
      <c r="B194" s="32">
        <f>IFERROR(__xludf.DUMMYFUNCTION("FILTER(INFY.NS!H:H,INFY.NS!A:A=A194)"),0.009603624748692864)</f>
        <v>0.009603624749</v>
      </c>
      <c r="C194" s="32">
        <f>IFERROR(__xludf.DUMMYFUNCTION("FILTER(IRCTC.NS!H:H,IRCTC.NS!A:A=A194)"),-0.039143526262964204)</f>
        <v>-0.03914352626</v>
      </c>
      <c r="D194" s="32">
        <f>IFERROR(__xludf.DUMMYFUNCTION("FILTER(TATAELXSI.NS!H:H,TATAELXSI.NS!A:A=A194)"),-0.01780899308539897)</f>
        <v>-0.01780899309</v>
      </c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1">
        <f>IFERROR(__xludf.DUMMYFUNCTION("""COMPUTED_VALUE"""),44628.0)</f>
        <v>44628</v>
      </c>
      <c r="B195" s="32">
        <f>IFERROR(__xludf.DUMMYFUNCTION("FILTER(INFY.NS!H:H,INFY.NS!A:A=A195)"),0.022042116003684727)</f>
        <v>0.022042116</v>
      </c>
      <c r="C195" s="32">
        <f>IFERROR(__xludf.DUMMYFUNCTION("FILTER(IRCTC.NS!H:H,IRCTC.NS!A:A=A195)"),6.962116991641341E-5)</f>
        <v>0.00006962116992</v>
      </c>
      <c r="D195" s="32">
        <f>IFERROR(__xludf.DUMMYFUNCTION("FILTER(TATAELXSI.NS!H:H,TATAELXSI.NS!A:A=A195)"),0.0027385018498036306)</f>
        <v>0.00273850185</v>
      </c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1">
        <f>IFERROR(__xludf.DUMMYFUNCTION("""COMPUTED_VALUE"""),44629.0)</f>
        <v>44629</v>
      </c>
      <c r="B196" s="32">
        <f>IFERROR(__xludf.DUMMYFUNCTION("FILTER(INFY.NS!H:H,INFY.NS!A:A=A196)"),0.019767194898544855)</f>
        <v>0.0197671949</v>
      </c>
      <c r="C196" s="32">
        <f>IFERROR(__xludf.DUMMYFUNCTION("FILTER(IRCTC.NS!H:H,IRCTC.NS!A:A=A196)"),0.02367523192549653)</f>
        <v>0.02367523193</v>
      </c>
      <c r="D196" s="32">
        <f>IFERROR(__xludf.DUMMYFUNCTION("FILTER(TATAELXSI.NS!H:H,TATAELXSI.NS!A:A=A196)"),0.06394629186338532)</f>
        <v>0.06394629186</v>
      </c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1">
        <f>IFERROR(__xludf.DUMMYFUNCTION("""COMPUTED_VALUE"""),44630.0)</f>
        <v>44630</v>
      </c>
      <c r="B197" s="32">
        <f>IFERROR(__xludf.DUMMYFUNCTION("FILTER(INFY.NS!H:H,INFY.NS!A:A=A197)"),0.006920918833155272)</f>
        <v>0.006920918833</v>
      </c>
      <c r="C197" s="32">
        <f>IFERROR(__xludf.DUMMYFUNCTION("FILTER(IRCTC.NS!H:H,IRCTC.NS!A:A=A197)"),0.03135839517896841)</f>
        <v>0.03135839518</v>
      </c>
      <c r="D197" s="32">
        <f>IFERROR(__xludf.DUMMYFUNCTION("FILTER(TATAELXSI.NS!H:H,TATAELXSI.NS!A:A=A197)"),0.002438124553124503)</f>
        <v>0.002438124553</v>
      </c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1">
        <f>IFERROR(__xludf.DUMMYFUNCTION("""COMPUTED_VALUE"""),44631.0)</f>
        <v>44631</v>
      </c>
      <c r="B198" s="32">
        <f>IFERROR(__xludf.DUMMYFUNCTION("FILTER(INFY.NS!H:H,INFY.NS!A:A=A198)"),-0.0021359460806929867)</f>
        <v>-0.002135946081</v>
      </c>
      <c r="C198" s="32">
        <f>IFERROR(__xludf.DUMMYFUNCTION("FILTER(IRCTC.NS!H:H,IRCTC.NS!A:A=A198)"),-4.61648873604462E-4)</f>
        <v>-0.0004616488736</v>
      </c>
      <c r="D198" s="32">
        <f>IFERROR(__xludf.DUMMYFUNCTION("FILTER(TATAELXSI.NS!H:H,TATAELXSI.NS!A:A=A198)"),0.015855863095397896)</f>
        <v>0.0158558631</v>
      </c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1">
        <f>IFERROR(__xludf.DUMMYFUNCTION("""COMPUTED_VALUE"""),44634.0)</f>
        <v>44634</v>
      </c>
      <c r="B199" s="32">
        <f>IFERROR(__xludf.DUMMYFUNCTION("FILTER(INFY.NS!H:H,INFY.NS!A:A=A199)"),0.037705790889132854)</f>
        <v>0.03770579089</v>
      </c>
      <c r="C199" s="32">
        <f>IFERROR(__xludf.DUMMYFUNCTION("FILTER(IRCTC.NS!H:H,IRCTC.NS!A:A=A199)"),-0.006466544374793838)</f>
        <v>-0.006466544375</v>
      </c>
      <c r="D199" s="32">
        <f>IFERROR(__xludf.DUMMYFUNCTION("FILTER(TATAELXSI.NS!H:H,TATAELXSI.NS!A:A=A199)"),0.006803587270867303)</f>
        <v>0.006803587271</v>
      </c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1">
        <f>IFERROR(__xludf.DUMMYFUNCTION("""COMPUTED_VALUE"""),44635.0)</f>
        <v>44635</v>
      </c>
      <c r="B200" s="32">
        <f>IFERROR(__xludf.DUMMYFUNCTION("FILTER(INFY.NS!H:H,INFY.NS!A:A=A200)"),-0.02718564729047275)</f>
        <v>-0.02718564729</v>
      </c>
      <c r="C200" s="32">
        <f>IFERROR(__xludf.DUMMYFUNCTION("FILTER(IRCTC.NS!H:H,IRCTC.NS!A:A=A200)"),0.004715478665300589)</f>
        <v>0.004715478665</v>
      </c>
      <c r="D200" s="32">
        <f>IFERROR(__xludf.DUMMYFUNCTION("FILTER(TATAELXSI.NS!H:H,TATAELXSI.NS!A:A=A200)"),-0.024017868285585886)</f>
        <v>-0.02401786829</v>
      </c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1">
        <f>IFERROR(__xludf.DUMMYFUNCTION("""COMPUTED_VALUE"""),44636.0)</f>
        <v>44636</v>
      </c>
      <c r="B201" s="32">
        <f>IFERROR(__xludf.DUMMYFUNCTION("FILTER(INFY.NS!H:H,INFY.NS!A:A=A201)"),0.02723860907155344)</f>
        <v>0.02723860907</v>
      </c>
      <c r="C201" s="32">
        <f>IFERROR(__xludf.DUMMYFUNCTION("FILTER(IRCTC.NS!H:H,IRCTC.NS!A:A=A201)"),0.01566628189319038)</f>
        <v>0.01566628189</v>
      </c>
      <c r="D201" s="32">
        <f>IFERROR(__xludf.DUMMYFUNCTION("FILTER(TATAELXSI.NS!H:H,TATAELXSI.NS!A:A=A201)"),0.030861199577283987)</f>
        <v>0.03086119958</v>
      </c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1">
        <f>IFERROR(__xludf.DUMMYFUNCTION("""COMPUTED_VALUE"""),44637.0)</f>
        <v>44637</v>
      </c>
      <c r="B202" s="32">
        <f>IFERROR(__xludf.DUMMYFUNCTION("FILTER(INFY.NS!H:H,INFY.NS!A:A=A202)"),-0.018418570740951816)</f>
        <v>-0.01841857074</v>
      </c>
      <c r="C202" s="32">
        <f>IFERROR(__xludf.DUMMYFUNCTION("FILTER(IRCTC.NS!H:H,IRCTC.NS!A:A=A202)"),0.002863666775138321)</f>
        <v>0.002863666775</v>
      </c>
      <c r="D202" s="32">
        <f>IFERROR(__xludf.DUMMYFUNCTION("FILTER(TATAELXSI.NS!H:H,TATAELXSI.NS!A:A=A202)"),0.03027006695406694)</f>
        <v>0.03027006695</v>
      </c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1">
        <f>IFERROR(__xludf.DUMMYFUNCTION("""COMPUTED_VALUE"""),44641.0)</f>
        <v>44641</v>
      </c>
      <c r="B203" s="32">
        <f>IFERROR(__xludf.DUMMYFUNCTION("FILTER(INFY.NS!H:H,INFY.NS!A:A=A203)"),-8.357203817843818E-4)</f>
        <v>-0.0008357203818</v>
      </c>
      <c r="C203" s="32">
        <f>IFERROR(__xludf.DUMMYFUNCTION("FILTER(IRCTC.NS!H:H,IRCTC.NS!A:A=A203)"),3.8936724683961044E-4)</f>
        <v>0.0003893672468</v>
      </c>
      <c r="D203" s="32">
        <f>IFERROR(__xludf.DUMMYFUNCTION("FILTER(TATAELXSI.NS!H:H,TATAELXSI.NS!A:A=A203)"),-0.0037676186631681635)</f>
        <v>-0.003767618663</v>
      </c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1">
        <f>IFERROR(__xludf.DUMMYFUNCTION("""COMPUTED_VALUE"""),44642.0)</f>
        <v>44642</v>
      </c>
      <c r="B204" s="32">
        <f>IFERROR(__xludf.DUMMYFUNCTION("FILTER(INFY.NS!H:H,INFY.NS!A:A=A204)"),0.018536992575314996)</f>
        <v>0.01853699258</v>
      </c>
      <c r="C204" s="32">
        <f>IFERROR(__xludf.DUMMYFUNCTION("FILTER(IRCTC.NS!H:H,IRCTC.NS!A:A=A204)"),-0.006422331495296809)</f>
        <v>-0.006422331495</v>
      </c>
      <c r="D204" s="32">
        <f>IFERROR(__xludf.DUMMYFUNCTION("FILTER(TATAELXSI.NS!H:H,TATAELXSI.NS!A:A=A204)"),0.014702022353537044)</f>
        <v>0.01470202235</v>
      </c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1">
        <f>IFERROR(__xludf.DUMMYFUNCTION("""COMPUTED_VALUE"""),44643.0)</f>
        <v>44643</v>
      </c>
      <c r="B205" s="32">
        <f>IFERROR(__xludf.DUMMYFUNCTION("FILTER(INFY.NS!H:H,INFY.NS!A:A=A205)"),-0.007947440822963558)</f>
        <v>-0.007947440823</v>
      </c>
      <c r="C205" s="32">
        <f>IFERROR(__xludf.DUMMYFUNCTION("FILTER(IRCTC.NS!H:H,IRCTC.NS!A:A=A205)"),8.488169367796208E-4)</f>
        <v>0.0008488169368</v>
      </c>
      <c r="D205" s="32">
        <f>IFERROR(__xludf.DUMMYFUNCTION("FILTER(TATAELXSI.NS!H:H,TATAELXSI.NS!A:A=A205)"),0.02387986844231997)</f>
        <v>0.02387986844</v>
      </c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1">
        <f>IFERROR(__xludf.DUMMYFUNCTION("""COMPUTED_VALUE"""),44644.0)</f>
        <v>44644</v>
      </c>
      <c r="B206" s="32">
        <f>IFERROR(__xludf.DUMMYFUNCTION("FILTER(INFY.NS!H:H,INFY.NS!A:A=A206)"),0.007637217911080322)</f>
        <v>0.007637217911</v>
      </c>
      <c r="C206" s="32">
        <f>IFERROR(__xludf.DUMMYFUNCTION("FILTER(IRCTC.NS!H:H,IRCTC.NS!A:A=A206)"),0.00789351934930883)</f>
        <v>0.007893519349</v>
      </c>
      <c r="D206" s="32">
        <f>IFERROR(__xludf.DUMMYFUNCTION("FILTER(TATAELXSI.NS!H:H,TATAELXSI.NS!A:A=A206)"),-0.011063455278211114)</f>
        <v>-0.01106345528</v>
      </c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1">
        <f>IFERROR(__xludf.DUMMYFUNCTION("""COMPUTED_VALUE"""),44645.0)</f>
        <v>44645</v>
      </c>
      <c r="B207" s="32">
        <f>IFERROR(__xludf.DUMMYFUNCTION("FILTER(INFY.NS!H:H,INFY.NS!A:A=A207)"),-0.0053797118055896485)</f>
        <v>-0.005379711806</v>
      </c>
      <c r="C207" s="32">
        <f>IFERROR(__xludf.DUMMYFUNCTION("FILTER(IRCTC.NS!H:H,IRCTC.NS!A:A=A207)"),-0.0031715365695793077)</f>
        <v>-0.00317153657</v>
      </c>
      <c r="D207" s="32">
        <f>IFERROR(__xludf.DUMMYFUNCTION("FILTER(TATAELXSI.NS!H:H,TATAELXSI.NS!A:A=A207)"),0.10928240199157012)</f>
        <v>0.109282402</v>
      </c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1">
        <f>IFERROR(__xludf.DUMMYFUNCTION("""COMPUTED_VALUE"""),44648.0)</f>
        <v>44648</v>
      </c>
      <c r="B208" s="32">
        <f>IFERROR(__xludf.DUMMYFUNCTION("FILTER(INFY.NS!H:H,INFY.NS!A:A=A208)"),-0.0014121792282663036)</f>
        <v>-0.001412179228</v>
      </c>
      <c r="C208" s="32">
        <f>IFERROR(__xludf.DUMMYFUNCTION("FILTER(IRCTC.NS!H:H,IRCTC.NS!A:A=A208)"),-0.0049347289906067566)</f>
        <v>-0.004934728991</v>
      </c>
      <c r="D208" s="32">
        <f>IFERROR(__xludf.DUMMYFUNCTION("FILTER(TATAELXSI.NS!H:H,TATAELXSI.NS!A:A=A208)"),0.07078521381300323)</f>
        <v>0.07078521381</v>
      </c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1">
        <f>IFERROR(__xludf.DUMMYFUNCTION("""COMPUTED_VALUE"""),44649.0)</f>
        <v>44649</v>
      </c>
      <c r="B209" s="32">
        <f>IFERROR(__xludf.DUMMYFUNCTION("FILTER(INFY.NS!H:H,INFY.NS!A:A=A209)"),0.006457108621073356)</f>
        <v>0.006457108621</v>
      </c>
      <c r="C209" s="32">
        <f>IFERROR(__xludf.DUMMYFUNCTION("FILTER(IRCTC.NS!H:H,IRCTC.NS!A:A=A209)"),0.0017617957585643975)</f>
        <v>0.001761795759</v>
      </c>
      <c r="D209" s="32">
        <f>IFERROR(__xludf.DUMMYFUNCTION("FILTER(TATAELXSI.NS!H:H,TATAELXSI.NS!A:A=A209)"),-0.05341712035858549)</f>
        <v>-0.05341712036</v>
      </c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1">
        <f>IFERROR(__xludf.DUMMYFUNCTION("""COMPUTED_VALUE"""),44650.0)</f>
        <v>44650</v>
      </c>
      <c r="B210" s="32">
        <f>IFERROR(__xludf.DUMMYFUNCTION("FILTER(INFY.NS!H:H,INFY.NS!A:A=A210)"),0.00951747136797458)</f>
        <v>0.009517471368</v>
      </c>
      <c r="C210" s="32">
        <f>IFERROR(__xludf.DUMMYFUNCTION("FILTER(IRCTC.NS!H:H,IRCTC.NS!A:A=A210)"),0.02859563924738843)</f>
        <v>0.02859563925</v>
      </c>
      <c r="D210" s="32">
        <f>IFERROR(__xludf.DUMMYFUNCTION("FILTER(TATAELXSI.NS!H:H,TATAELXSI.NS!A:A=A210)"),0.051906699672684464)</f>
        <v>0.05190669967</v>
      </c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1">
        <f>IFERROR(__xludf.DUMMYFUNCTION("""COMPUTED_VALUE"""),44651.0)</f>
        <v>44651</v>
      </c>
      <c r="B211" s="32">
        <f>IFERROR(__xludf.DUMMYFUNCTION("FILTER(INFY.NS!H:H,INFY.NS!A:A=A211)"),0.0015231624121614918)</f>
        <v>0.001523162412</v>
      </c>
      <c r="C211" s="32">
        <f>IFERROR(__xludf.DUMMYFUNCTION("FILTER(IRCTC.NS!H:H,IRCTC.NS!A:A=A211)"),-0.01880815176454663)</f>
        <v>-0.01880815176</v>
      </c>
      <c r="D211" s="32">
        <f>IFERROR(__xludf.DUMMYFUNCTION("FILTER(TATAELXSI.NS!H:H,TATAELXSI.NS!A:A=A211)"),-0.017411681641837016)</f>
        <v>-0.01741168164</v>
      </c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1">
        <f>IFERROR(__xludf.DUMMYFUNCTION("""COMPUTED_VALUE"""),44652.0)</f>
        <v>44652</v>
      </c>
      <c r="B212" s="32">
        <f>IFERROR(__xludf.DUMMYFUNCTION("FILTER(INFY.NS!H:H,INFY.NS!A:A=A212)"),-0.0017305645654003066)</f>
        <v>-0.001730564565</v>
      </c>
      <c r="C212" s="32">
        <f>IFERROR(__xludf.DUMMYFUNCTION("FILTER(IRCTC.NS!H:H,IRCTC.NS!A:A=A212)"),0.03033432249385327)</f>
        <v>0.03033432249</v>
      </c>
      <c r="D212" s="32">
        <f>IFERROR(__xludf.DUMMYFUNCTION("FILTER(TATAELXSI.NS!H:H,TATAELXSI.NS!A:A=A212)"),0.008218119691036526)</f>
        <v>0.008218119691</v>
      </c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1">
        <f>IFERROR(__xludf.DUMMYFUNCTION("""COMPUTED_VALUE"""),44655.0)</f>
        <v>44655</v>
      </c>
      <c r="B213" s="32">
        <f>IFERROR(__xludf.DUMMYFUNCTION("FILTER(INFY.NS!H:H,INFY.NS!A:A=A213)"),-0.010821936628785687)</f>
        <v>-0.01082193663</v>
      </c>
      <c r="C213" s="32">
        <f>IFERROR(__xludf.DUMMYFUNCTION("FILTER(IRCTC.NS!H:H,IRCTC.NS!A:A=A213)"),0.04322224941284516)</f>
        <v>0.04322224941</v>
      </c>
      <c r="D213" s="32">
        <f>IFERROR(__xludf.DUMMYFUNCTION("FILTER(TATAELXSI.NS!H:H,TATAELXSI.NS!A:A=A213)"),0.010872048303568832)</f>
        <v>0.0108720483</v>
      </c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1">
        <f>IFERROR(__xludf.DUMMYFUNCTION("""COMPUTED_VALUE"""),44656.0)</f>
        <v>44656</v>
      </c>
      <c r="B214" s="32">
        <f>IFERROR(__xludf.DUMMYFUNCTION("FILTER(INFY.NS!H:H,INFY.NS!A:A=A214)"),-0.011604118839375399)</f>
        <v>-0.01160411884</v>
      </c>
      <c r="C214" s="32">
        <f>IFERROR(__xludf.DUMMYFUNCTION("FILTER(IRCTC.NS!H:H,IRCTC.NS!A:A=A214)"),-0.012429489432984475)</f>
        <v>-0.01242948943</v>
      </c>
      <c r="D214" s="32">
        <f>IFERROR(__xludf.DUMMYFUNCTION("FILTER(TATAELXSI.NS!H:H,TATAELXSI.NS!A:A=A214)"),-0.014578796536747433)</f>
        <v>-0.01457879654</v>
      </c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1">
        <f>IFERROR(__xludf.DUMMYFUNCTION("""COMPUTED_VALUE"""),44657.0)</f>
        <v>44657</v>
      </c>
      <c r="B215" s="32">
        <f>IFERROR(__xludf.DUMMYFUNCTION("FILTER(INFY.NS!H:H,INFY.NS!A:A=A215)"),-0.01732846188591859)</f>
        <v>-0.01732846189</v>
      </c>
      <c r="C215" s="32">
        <f>IFERROR(__xludf.DUMMYFUNCTION("FILTER(IRCTC.NS!H:H,IRCTC.NS!A:A=A215)"),-0.036967185367802524)</f>
        <v>-0.03696718537</v>
      </c>
      <c r="D215" s="32">
        <f>IFERROR(__xludf.DUMMYFUNCTION("FILTER(TATAELXSI.NS!H:H,TATAELXSI.NS!A:A=A215)"),0.001723381334802135)</f>
        <v>0.001723381335</v>
      </c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1">
        <f>IFERROR(__xludf.DUMMYFUNCTION("""COMPUTED_VALUE"""),44658.0)</f>
        <v>44658</v>
      </c>
      <c r="B216" s="32">
        <f>IFERROR(__xludf.DUMMYFUNCTION("FILTER(INFY.NS!H:H,INFY.NS!A:A=A216)"),-0.009760218844763224)</f>
        <v>-0.009760218845</v>
      </c>
      <c r="C216" s="32">
        <f>IFERROR(__xludf.DUMMYFUNCTION("FILTER(IRCTC.NS!H:H,IRCTC.NS!A:A=A216)"),-0.00530338018354625)</f>
        <v>-0.005303380184</v>
      </c>
      <c r="D216" s="32">
        <f>IFERROR(__xludf.DUMMYFUNCTION("FILTER(TATAELXSI.NS!H:H,TATAELXSI.NS!A:A=A216)"),-0.016399406271646717)</f>
        <v>-0.01639940627</v>
      </c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1">
        <f>IFERROR(__xludf.DUMMYFUNCTION("""COMPUTED_VALUE"""),44659.0)</f>
        <v>44659</v>
      </c>
      <c r="B217" s="32">
        <f>IFERROR(__xludf.DUMMYFUNCTION("FILTER(INFY.NS!H:H,INFY.NS!A:A=A217)"),0.001987838763114285)</f>
        <v>0.001987838763</v>
      </c>
      <c r="C217" s="32">
        <f>IFERROR(__xludf.DUMMYFUNCTION("FILTER(IRCTC.NS!H:H,IRCTC.NS!A:A=A217)"),0.0033005090447476605)</f>
        <v>0.003300509045</v>
      </c>
      <c r="D217" s="32">
        <f>IFERROR(__xludf.DUMMYFUNCTION("FILTER(TATAELXSI.NS!H:H,TATAELXSI.NS!A:A=A217)"),-0.007156040535383642)</f>
        <v>-0.007156040535</v>
      </c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1">
        <f>IFERROR(__xludf.DUMMYFUNCTION("""COMPUTED_VALUE"""),44662.0)</f>
        <v>44662</v>
      </c>
      <c r="B218" s="32">
        <f>IFERROR(__xludf.DUMMYFUNCTION("FILTER(INFY.NS!H:H,INFY.NS!A:A=A218)"),-0.02647962506090104)</f>
        <v>-0.02647962506</v>
      </c>
      <c r="C218" s="32">
        <f>IFERROR(__xludf.DUMMYFUNCTION("FILTER(IRCTC.NS!H:H,IRCTC.NS!A:A=A218)"),0.013981208749983008)</f>
        <v>0.01398120875</v>
      </c>
      <c r="D218" s="32">
        <f>IFERROR(__xludf.DUMMYFUNCTION("FILTER(TATAELXSI.NS!H:H,TATAELXSI.NS!A:A=A218)"),0.0029878638853873627)</f>
        <v>0.002987863885</v>
      </c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1">
        <f>IFERROR(__xludf.DUMMYFUNCTION("""COMPUTED_VALUE"""),44663.0)</f>
        <v>44663</v>
      </c>
      <c r="B219" s="32">
        <f>IFERROR(__xludf.DUMMYFUNCTION("FILTER(INFY.NS!H:H,INFY.NS!A:A=A219)"),-0.013642465444804327)</f>
        <v>-0.01364246544</v>
      </c>
      <c r="C219" s="32">
        <f>IFERROR(__xludf.DUMMYFUNCTION("FILTER(IRCTC.NS!H:H,IRCTC.NS!A:A=A219)"),-0.022211189751599084)</f>
        <v>-0.02221118975</v>
      </c>
      <c r="D219" s="32">
        <f>IFERROR(__xludf.DUMMYFUNCTION("FILTER(TATAELXSI.NS!H:H,TATAELXSI.NS!A:A=A219)"),-0.03465677636697792)</f>
        <v>-0.03465677637</v>
      </c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1">
        <f>IFERROR(__xludf.DUMMYFUNCTION("""COMPUTED_VALUE"""),44664.0)</f>
        <v>44664</v>
      </c>
      <c r="B220" s="32">
        <f>IFERROR(__xludf.DUMMYFUNCTION("FILTER(INFY.NS!H:H,INFY.NS!A:A=A220)"),0.0035008741550935306)</f>
        <v>0.003500874155</v>
      </c>
      <c r="C220" s="32">
        <f>IFERROR(__xludf.DUMMYFUNCTION("FILTER(IRCTC.NS!H:H,IRCTC.NS!A:A=A220)"),-0.004211317127452267)</f>
        <v>-0.004211317127</v>
      </c>
      <c r="D220" s="32">
        <f>IFERROR(__xludf.DUMMYFUNCTION("FILTER(TATAELXSI.NS!H:H,TATAELXSI.NS!A:A=A220)"),-0.003026452418467692)</f>
        <v>-0.003026452418</v>
      </c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1">
        <f>IFERROR(__xludf.DUMMYFUNCTION("""COMPUTED_VALUE"""),44669.0)</f>
        <v>44669</v>
      </c>
      <c r="B221" s="32">
        <f>IFERROR(__xludf.DUMMYFUNCTION("FILTER(INFY.NS!H:H,INFY.NS!A:A=A221)"),-0.07271740667229819)</f>
        <v>-0.07271740667</v>
      </c>
      <c r="C221" s="32">
        <f>IFERROR(__xludf.DUMMYFUNCTION("FILTER(IRCTC.NS!H:H,IRCTC.NS!A:A=A221)"),-0.01678838421307264)</f>
        <v>-0.01678838421</v>
      </c>
      <c r="D221" s="32">
        <f>IFERROR(__xludf.DUMMYFUNCTION("FILTER(TATAELXSI.NS!H:H,TATAELXSI.NS!A:A=A221)"),-0.06773177117866547)</f>
        <v>-0.06773177118</v>
      </c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1">
        <f>IFERROR(__xludf.DUMMYFUNCTION("""COMPUTED_VALUE"""),44670.0)</f>
        <v>44670</v>
      </c>
      <c r="B222" s="32">
        <f>IFERROR(__xludf.DUMMYFUNCTION("FILTER(INFY.NS!H:H,INFY.NS!A:A=A222)"),-0.036635021044011055)</f>
        <v>-0.03663502104</v>
      </c>
      <c r="C222" s="32">
        <f>IFERROR(__xludf.DUMMYFUNCTION("FILTER(IRCTC.NS!H:H,IRCTC.NS!A:A=A222)"),-0.018834739017183456)</f>
        <v>-0.01883473902</v>
      </c>
      <c r="D222" s="32">
        <f>IFERROR(__xludf.DUMMYFUNCTION("FILTER(TATAELXSI.NS!H:H,TATAELXSI.NS!A:A=A222)"),-0.01571149891392063)</f>
        <v>-0.01571149891</v>
      </c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1">
        <f>IFERROR(__xludf.DUMMYFUNCTION("""COMPUTED_VALUE"""),44671.0)</f>
        <v>44671</v>
      </c>
      <c r="B223" s="32">
        <f>IFERROR(__xludf.DUMMYFUNCTION("FILTER(INFY.NS!H:H,INFY.NS!A:A=A223)"),0.016453233674775965)</f>
        <v>0.01645323367</v>
      </c>
      <c r="C223" s="32">
        <f>IFERROR(__xludf.DUMMYFUNCTION("FILTER(IRCTC.NS!H:H,IRCTC.NS!A:A=A223)"),-0.0068416127532381675)</f>
        <v>-0.006841612753</v>
      </c>
      <c r="D223" s="32">
        <f>IFERROR(__xludf.DUMMYFUNCTION("FILTER(TATAELXSI.NS!H:H,TATAELXSI.NS!A:A=A223)"),0.014889907834789547)</f>
        <v>0.01488990783</v>
      </c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1">
        <f>IFERROR(__xludf.DUMMYFUNCTION("""COMPUTED_VALUE"""),44672.0)</f>
        <v>44672</v>
      </c>
      <c r="B224" s="32">
        <f>IFERROR(__xludf.DUMMYFUNCTION("FILTER(INFY.NS!H:H,INFY.NS!A:A=A224)"),0.01958814572011024)</f>
        <v>0.01958814572</v>
      </c>
      <c r="C224" s="32">
        <f>IFERROR(__xludf.DUMMYFUNCTION("FILTER(IRCTC.NS!H:H,IRCTC.NS!A:A=A224)"),0.016118309773728592)</f>
        <v>0.01611830977</v>
      </c>
      <c r="D224" s="32">
        <f>IFERROR(__xludf.DUMMYFUNCTION("FILTER(TATAELXSI.NS!H:H,TATAELXSI.NS!A:A=A224)"),0.012314753461150225)</f>
        <v>0.01231475346</v>
      </c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1">
        <f>IFERROR(__xludf.DUMMYFUNCTION("""COMPUTED_VALUE"""),44673.0)</f>
        <v>44673</v>
      </c>
      <c r="B225" s="32">
        <f>IFERROR(__xludf.DUMMYFUNCTION("FILTER(INFY.NS!H:H,INFY.NS!A:A=A225)"),-0.02060174017205005)</f>
        <v>-0.02060174017</v>
      </c>
      <c r="C225" s="32">
        <f>IFERROR(__xludf.DUMMYFUNCTION("FILTER(IRCTC.NS!H:H,IRCTC.NS!A:A=A225)"),-0.005857976514722015)</f>
        <v>-0.005857976515</v>
      </c>
      <c r="D225" s="32">
        <f>IFERROR(__xludf.DUMMYFUNCTION("FILTER(TATAELXSI.NS!H:H,TATAELXSI.NS!A:A=A225)"),0.05745932632438446)</f>
        <v>0.05745932632</v>
      </c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1">
        <f>IFERROR(__xludf.DUMMYFUNCTION("""COMPUTED_VALUE"""),44676.0)</f>
        <v>44676</v>
      </c>
      <c r="B226" s="32">
        <f>IFERROR(__xludf.DUMMYFUNCTION("FILTER(INFY.NS!H:H,INFY.NS!A:A=A226)"),-0.01535840029806156)</f>
        <v>-0.0153584003</v>
      </c>
      <c r="C226" s="32">
        <f>IFERROR(__xludf.DUMMYFUNCTION("FILTER(IRCTC.NS!H:H,IRCTC.NS!A:A=A226)"),-0.01271191187428112)</f>
        <v>-0.01271191187</v>
      </c>
      <c r="D226" s="32">
        <f>IFERROR(__xludf.DUMMYFUNCTION("FILTER(TATAELXSI.NS!H:H,TATAELXSI.NS!A:A=A226)"),-0.041708554438860956)</f>
        <v>-0.04170855444</v>
      </c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1">
        <f>IFERROR(__xludf.DUMMYFUNCTION("""COMPUTED_VALUE"""),44677.0)</f>
        <v>44677</v>
      </c>
      <c r="B227" s="32">
        <f>IFERROR(__xludf.DUMMYFUNCTION("FILTER(INFY.NS!H:H,INFY.NS!A:A=A227)"),0.012747437259585244)</f>
        <v>0.01274743726</v>
      </c>
      <c r="C227" s="32">
        <f>IFERROR(__xludf.DUMMYFUNCTION("FILTER(IRCTC.NS!H:H,IRCTC.NS!A:A=A227)"),0.020721583285029526)</f>
        <v>0.02072158329</v>
      </c>
      <c r="D227" s="32">
        <f>IFERROR(__xludf.DUMMYFUNCTION("FILTER(TATAELXSI.NS!H:H,TATAELXSI.NS!A:A=A227)"),-0.02085671911053995)</f>
        <v>-0.02085671911</v>
      </c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1">
        <f>IFERROR(__xludf.DUMMYFUNCTION("""COMPUTED_VALUE"""),44678.0)</f>
        <v>44678</v>
      </c>
      <c r="B228" s="32">
        <f>IFERROR(__xludf.DUMMYFUNCTION("FILTER(INFY.NS!H:H,INFY.NS!A:A=A228)"),-0.01783678115117018)</f>
        <v>-0.01783678115</v>
      </c>
      <c r="C228" s="32">
        <f>IFERROR(__xludf.DUMMYFUNCTION("FILTER(IRCTC.NS!H:H,IRCTC.NS!A:A=A228)"),-0.016490359631935222)</f>
        <v>-0.01649035963</v>
      </c>
      <c r="D228" s="32">
        <f>IFERROR(__xludf.DUMMYFUNCTION("FILTER(TATAELXSI.NS!H:H,TATAELXSI.NS!A:A=A228)"),0.01766052245427312)</f>
        <v>0.01766052245</v>
      </c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1">
        <f>IFERROR(__xludf.DUMMYFUNCTION("""COMPUTED_VALUE"""),44679.0)</f>
        <v>44679</v>
      </c>
      <c r="B229" s="32">
        <f>IFERROR(__xludf.DUMMYFUNCTION("FILTER(INFY.NS!H:H,INFY.NS!A:A=A229)"),0.019191090970914843)</f>
        <v>0.01919109097</v>
      </c>
      <c r="C229" s="32">
        <f>IFERROR(__xludf.DUMMYFUNCTION("FILTER(IRCTC.NS!H:H,IRCTC.NS!A:A=A229)"),0.011890479625918543)</f>
        <v>0.01189047963</v>
      </c>
      <c r="D229" s="32">
        <f>IFERROR(__xludf.DUMMYFUNCTION("FILTER(TATAELXSI.NS!H:H,TATAELXSI.NS!A:A=A229)"),-0.017209958377043044)</f>
        <v>-0.01720995838</v>
      </c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1">
        <f>IFERROR(__xludf.DUMMYFUNCTION("""COMPUTED_VALUE"""),44680.0)</f>
        <v>44680</v>
      </c>
      <c r="B230" s="32">
        <f>IFERROR(__xludf.DUMMYFUNCTION("FILTER(INFY.NS!H:H,INFY.NS!A:A=A230)"),-0.009509621653122044)</f>
        <v>-0.009509621653</v>
      </c>
      <c r="C230" s="32">
        <f>IFERROR(__xludf.DUMMYFUNCTION("FILTER(IRCTC.NS!H:H,IRCTC.NS!A:A=A230)"),-0.015117522626326211)</f>
        <v>-0.01511752263</v>
      </c>
      <c r="D230" s="32">
        <f>IFERROR(__xludf.DUMMYFUNCTION("FILTER(TATAELXSI.NS!H:H,TATAELXSI.NS!A:A=A230)"),-0.01243067508127749)</f>
        <v>-0.01243067508</v>
      </c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1">
        <f>IFERROR(__xludf.DUMMYFUNCTION("""COMPUTED_VALUE"""),44683.0)</f>
        <v>44683</v>
      </c>
      <c r="B231" s="32">
        <f>IFERROR(__xludf.DUMMYFUNCTION("FILTER(INFY.NS!H:H,INFY.NS!A:A=A231)"),-0.016937289509152985)</f>
        <v>-0.01693728951</v>
      </c>
      <c r="C231" s="32">
        <f>IFERROR(__xludf.DUMMYFUNCTION("FILTER(IRCTC.NS!H:H,IRCTC.NS!A:A=A231)"),-0.011327852891032617)</f>
        <v>-0.01132785289</v>
      </c>
      <c r="D231" s="32">
        <f>IFERROR(__xludf.DUMMYFUNCTION("FILTER(TATAELXSI.NS!H:H,TATAELXSI.NS!A:A=A231)"),-0.009521043119029177)</f>
        <v>-0.009521043119</v>
      </c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1">
        <f>IFERROR(__xludf.DUMMYFUNCTION("""COMPUTED_VALUE"""),44685.0)</f>
        <v>44685</v>
      </c>
      <c r="B232" s="32">
        <f>IFERROR(__xludf.DUMMYFUNCTION("FILTER(INFY.NS!H:H,INFY.NS!A:A=A232)"),-0.003536632706035078)</f>
        <v>-0.003536632706</v>
      </c>
      <c r="C232" s="32">
        <f>IFERROR(__xludf.DUMMYFUNCTION("FILTER(IRCTC.NS!H:H,IRCTC.NS!A:A=A232)"),-0.021491492881355892)</f>
        <v>-0.02149149288</v>
      </c>
      <c r="D232" s="32">
        <f>IFERROR(__xludf.DUMMYFUNCTION("FILTER(TATAELXSI.NS!H:H,TATAELXSI.NS!A:A=A232)"),0.013587930528853986)</f>
        <v>0.01358793053</v>
      </c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1">
        <f>IFERROR(__xludf.DUMMYFUNCTION("""COMPUTED_VALUE"""),44686.0)</f>
        <v>44686</v>
      </c>
      <c r="B233" s="32">
        <f>IFERROR(__xludf.DUMMYFUNCTION("FILTER(INFY.NS!H:H,INFY.NS!A:A=A233)"),0.03230111257676114)</f>
        <v>0.03230111258</v>
      </c>
      <c r="C233" s="32">
        <f>IFERROR(__xludf.DUMMYFUNCTION("FILTER(IRCTC.NS!H:H,IRCTC.NS!A:A=A233)"),-0.006166440590321403)</f>
        <v>-0.00616644059</v>
      </c>
      <c r="D233" s="32">
        <f>IFERROR(__xludf.DUMMYFUNCTION("FILTER(TATAELXSI.NS!H:H,TATAELXSI.NS!A:A=A233)"),0.006391075033755591)</f>
        <v>0.006391075034</v>
      </c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1">
        <f>IFERROR(__xludf.DUMMYFUNCTION("""COMPUTED_VALUE"""),44687.0)</f>
        <v>44687</v>
      </c>
      <c r="B234" s="32">
        <f>IFERROR(__xludf.DUMMYFUNCTION("FILTER(INFY.NS!H:H,INFY.NS!A:A=A234)"),-0.026685201627325628)</f>
        <v>-0.02668520163</v>
      </c>
      <c r="C234" s="32">
        <f>IFERROR(__xludf.DUMMYFUNCTION("FILTER(IRCTC.NS!H:H,IRCTC.NS!A:A=A234)"),-0.017638069978169534)</f>
        <v>-0.01763806998</v>
      </c>
      <c r="D234" s="32">
        <f>IFERROR(__xludf.DUMMYFUNCTION("FILTER(TATAELXSI.NS!H:H,TATAELXSI.NS!A:A=A234)"),-0.040658325505561685)</f>
        <v>-0.04065832551</v>
      </c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1">
        <f>IFERROR(__xludf.DUMMYFUNCTION("""COMPUTED_VALUE"""),44690.0)</f>
        <v>44690</v>
      </c>
      <c r="B235" s="32">
        <f>IFERROR(__xludf.DUMMYFUNCTION("FILTER(INFY.NS!H:H,INFY.NS!A:A=A235)"),0.01782415687058351)</f>
        <v>0.01782415687</v>
      </c>
      <c r="C235" s="32">
        <f>IFERROR(__xludf.DUMMYFUNCTION("FILTER(IRCTC.NS!H:H,IRCTC.NS!A:A=A235)"),-0.019586953708102234)</f>
        <v>-0.01958695371</v>
      </c>
      <c r="D235" s="32">
        <f>IFERROR(__xludf.DUMMYFUNCTION("FILTER(TATAELXSI.NS!H:H,TATAELXSI.NS!A:A=A235)"),-0.03738681339904107)</f>
        <v>-0.0373868134</v>
      </c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1">
        <f>IFERROR(__xludf.DUMMYFUNCTION("""COMPUTED_VALUE"""),44691.0)</f>
        <v>44691</v>
      </c>
      <c r="B236" s="32">
        <f>IFERROR(__xludf.DUMMYFUNCTION("FILTER(INFY.NS!H:H,INFY.NS!A:A=A236)"),-0.0110484772599506)</f>
        <v>-0.01104847726</v>
      </c>
      <c r="C236" s="32">
        <f>IFERROR(__xludf.DUMMYFUNCTION("FILTER(IRCTC.NS!H:H,IRCTC.NS!A:A=A236)"),-0.01737242128121607)</f>
        <v>-0.01737242128</v>
      </c>
      <c r="D236" s="32">
        <f>IFERROR(__xludf.DUMMYFUNCTION("FILTER(TATAELXSI.NS!H:H,TATAELXSI.NS!A:A=A236)"),-0.05695067606234433)</f>
        <v>-0.05695067606</v>
      </c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1">
        <f>IFERROR(__xludf.DUMMYFUNCTION("""COMPUTED_VALUE"""),44692.0)</f>
        <v>44692</v>
      </c>
      <c r="B237" s="32">
        <f>IFERROR(__xludf.DUMMYFUNCTION("FILTER(INFY.NS!H:H,INFY.NS!A:A=A237)"),-0.016902768834513845)</f>
        <v>-0.01690276883</v>
      </c>
      <c r="C237" s="32">
        <f>IFERROR(__xludf.DUMMYFUNCTION("FILTER(IRCTC.NS!H:H,IRCTC.NS!A:A=A237)"),-0.03189690460405161)</f>
        <v>-0.0318969046</v>
      </c>
      <c r="D237" s="32">
        <f>IFERROR(__xludf.DUMMYFUNCTION("FILTER(TATAELXSI.NS!H:H,TATAELXSI.NS!A:A=A237)"),0.008333671284671237)</f>
        <v>0.008333671285</v>
      </c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1">
        <f>IFERROR(__xludf.DUMMYFUNCTION("""COMPUTED_VALUE"""),44693.0)</f>
        <v>44693</v>
      </c>
      <c r="B238" s="32">
        <f>IFERROR(__xludf.DUMMYFUNCTION("FILTER(INFY.NS!H:H,INFY.NS!A:A=A238)"),-0.011756968069428561)</f>
        <v>-0.01175696807</v>
      </c>
      <c r="C238" s="32">
        <f>IFERROR(__xludf.DUMMYFUNCTION("FILTER(IRCTC.NS!H:H,IRCTC.NS!A:A=A238)"),-0.055470937956631335)</f>
        <v>-0.05547093796</v>
      </c>
      <c r="D238" s="32">
        <f>IFERROR(__xludf.DUMMYFUNCTION("FILTER(TATAELXSI.NS!H:H,TATAELXSI.NS!A:A=A238)"),0.001746089487086213)</f>
        <v>0.001746089487</v>
      </c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1">
        <f>IFERROR(__xludf.DUMMYFUNCTION("""COMPUTED_VALUE"""),44694.0)</f>
        <v>44694</v>
      </c>
      <c r="B239" s="32">
        <f>IFERROR(__xludf.DUMMYFUNCTION("FILTER(INFY.NS!H:H,INFY.NS!A:A=A239)"),-0.002916241289172913)</f>
        <v>-0.002916241289</v>
      </c>
      <c r="C239" s="32">
        <f>IFERROR(__xludf.DUMMYFUNCTION("FILTER(IRCTC.NS!H:H,IRCTC.NS!A:A=A239)"),0.050189257706368756)</f>
        <v>0.05018925771</v>
      </c>
      <c r="D239" s="32">
        <f>IFERROR(__xludf.DUMMYFUNCTION("FILTER(TATAELXSI.NS!H:H,TATAELXSI.NS!A:A=A239)"),0.1455661125717191)</f>
        <v>0.1455661126</v>
      </c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1">
        <f>IFERROR(__xludf.DUMMYFUNCTION("""COMPUTED_VALUE"""),44697.0)</f>
        <v>44697</v>
      </c>
      <c r="B240" s="32">
        <f>IFERROR(__xludf.DUMMYFUNCTION("FILTER(INFY.NS!H:H,INFY.NS!A:A=A240)"),-0.010170199252801966)</f>
        <v>-0.01017019925</v>
      </c>
      <c r="C240" s="32">
        <f>IFERROR(__xludf.DUMMYFUNCTION("FILTER(IRCTC.NS!H:H,IRCTC.NS!A:A=A240)"),0.0029917337157115984)</f>
        <v>0.002991733716</v>
      </c>
      <c r="D240" s="32">
        <f>IFERROR(__xludf.DUMMYFUNCTION("FILTER(TATAELXSI.NS!H:H,TATAELXSI.NS!A:A=A240)"),0.029733791015692533)</f>
        <v>0.02973379102</v>
      </c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1">
        <f>IFERROR(__xludf.DUMMYFUNCTION("""COMPUTED_VALUE"""),44698.0)</f>
        <v>44698</v>
      </c>
      <c r="B241" s="32">
        <f>IFERROR(__xludf.DUMMYFUNCTION("FILTER(INFY.NS!H:H,INFY.NS!A:A=A241)"),0.019709875410004095)</f>
        <v>0.01970987541</v>
      </c>
      <c r="C241" s="32">
        <f>IFERROR(__xludf.DUMMYFUNCTION("FILTER(IRCTC.NS!H:H,IRCTC.NS!A:A=A241)"),0.044971356022944595)</f>
        <v>0.04497135602</v>
      </c>
      <c r="D241" s="32">
        <f>IFERROR(__xludf.DUMMYFUNCTION("FILTER(TATAELXSI.NS!H:H,TATAELXSI.NS!A:A=A241)"),0.009407522816588498)</f>
        <v>0.009407522817</v>
      </c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1">
        <f>IFERROR(__xludf.DUMMYFUNCTION("""COMPUTED_VALUE"""),44699.0)</f>
        <v>44699</v>
      </c>
      <c r="B242" s="32">
        <f>IFERROR(__xludf.DUMMYFUNCTION("FILTER(INFY.NS!H:H,INFY.NS!A:A=A242)"),-0.006091738482330788)</f>
        <v>-0.006091738482</v>
      </c>
      <c r="C242" s="32">
        <f>IFERROR(__xludf.DUMMYFUNCTION("FILTER(IRCTC.NS!H:H,IRCTC.NS!A:A=A242)"),-0.016687438482765875)</f>
        <v>-0.01668743848</v>
      </c>
      <c r="D242" s="32">
        <f>IFERROR(__xludf.DUMMYFUNCTION("FILTER(TATAELXSI.NS!H:H,TATAELXSI.NS!A:A=A242)"),0.029295386513360607)</f>
        <v>0.02929538651</v>
      </c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1">
        <f>IFERROR(__xludf.DUMMYFUNCTION("""COMPUTED_VALUE"""),44700.0)</f>
        <v>44700</v>
      </c>
      <c r="B243" s="32">
        <f>IFERROR(__xludf.DUMMYFUNCTION("FILTER(INFY.NS!H:H,INFY.NS!A:A=A243)"),-0.054366505210680344)</f>
        <v>-0.05436650521</v>
      </c>
      <c r="C243" s="32">
        <f>IFERROR(__xludf.DUMMYFUNCTION("FILTER(IRCTC.NS!H:H,IRCTC.NS!A:A=A243)"),-0.025158204689244557)</f>
        <v>-0.02515820469</v>
      </c>
      <c r="D243" s="32">
        <f>IFERROR(__xludf.DUMMYFUNCTION("FILTER(TATAELXSI.NS!H:H,TATAELXSI.NS!A:A=A243)"),-0.020882490599086694)</f>
        <v>-0.0208824906</v>
      </c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1">
        <f>IFERROR(__xludf.DUMMYFUNCTION("""COMPUTED_VALUE"""),44701.0)</f>
        <v>44701</v>
      </c>
      <c r="B244" s="32">
        <f>IFERROR(__xludf.DUMMYFUNCTION("FILTER(INFY.NS!H:H,INFY.NS!A:A=A244)"),0.019619521093880456)</f>
        <v>0.01961952109</v>
      </c>
      <c r="C244" s="32">
        <f>IFERROR(__xludf.DUMMYFUNCTION("FILTER(IRCTC.NS!H:H,IRCTC.NS!A:A=A244)"),0.011300334841884504)</f>
        <v>0.01130033484</v>
      </c>
      <c r="D244" s="32">
        <f>IFERROR(__xludf.DUMMYFUNCTION("FILTER(TATAELXSI.NS!H:H,TATAELXSI.NS!A:A=A244)"),0.018265495491133477)</f>
        <v>0.01826549549</v>
      </c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1">
        <f>IFERROR(__xludf.DUMMYFUNCTION("""COMPUTED_VALUE"""),44704.0)</f>
        <v>44704</v>
      </c>
      <c r="B245" s="32">
        <f>IFERROR(__xludf.DUMMYFUNCTION("FILTER(INFY.NS!H:H,INFY.NS!A:A=A245)"),0.009105590338773206)</f>
        <v>0.009105590339</v>
      </c>
      <c r="C245" s="32">
        <f>IFERROR(__xludf.DUMMYFUNCTION("FILTER(IRCTC.NS!H:H,IRCTC.NS!A:A=A245)"),-0.013590033975084938)</f>
        <v>-0.01359003398</v>
      </c>
      <c r="D245" s="32">
        <f>IFERROR(__xludf.DUMMYFUNCTION("FILTER(TATAELXSI.NS!H:H,TATAELXSI.NS!A:A=A245)"),0.015376064260848232)</f>
        <v>0.01537606426</v>
      </c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1">
        <f>IFERROR(__xludf.DUMMYFUNCTION("""COMPUTED_VALUE"""),44705.0)</f>
        <v>44705</v>
      </c>
      <c r="B246" s="32">
        <f>IFERROR(__xludf.DUMMYFUNCTION("FILTER(INFY.NS!H:H,INFY.NS!A:A=A246)"),-0.018659781770747254)</f>
        <v>-0.01865978177</v>
      </c>
      <c r="C246" s="32">
        <f>IFERROR(__xludf.DUMMYFUNCTION("FILTER(IRCTC.NS!H:H,IRCTC.NS!A:A=A246)"),-0.0032146590126291156)</f>
        <v>-0.003214659013</v>
      </c>
      <c r="D246" s="32">
        <f>IFERROR(__xludf.DUMMYFUNCTION("FILTER(TATAELXSI.NS!H:H,TATAELXSI.NS!A:A=A246)"),-0.009874979834343172)</f>
        <v>-0.009874979834</v>
      </c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1">
        <f>IFERROR(__xludf.DUMMYFUNCTION("""COMPUTED_VALUE"""),44706.0)</f>
        <v>44706</v>
      </c>
      <c r="B247" s="32">
        <f>IFERROR(__xludf.DUMMYFUNCTION("FILTER(INFY.NS!H:H,INFY.NS!A:A=A247)"),-0.021200589174184555)</f>
        <v>-0.02120058917</v>
      </c>
      <c r="C247" s="32">
        <f>IFERROR(__xludf.DUMMYFUNCTION("FILTER(IRCTC.NS!H:H,IRCTC.NS!A:A=A247)"),-0.0056822726923527155)</f>
        <v>-0.005682272692</v>
      </c>
      <c r="D247" s="32">
        <f>IFERROR(__xludf.DUMMYFUNCTION("FILTER(TATAELXSI.NS!H:H,TATAELXSI.NS!A:A=A247)"),-0.039752191034702414)</f>
        <v>-0.03975219103</v>
      </c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1">
        <f>IFERROR(__xludf.DUMMYFUNCTION("""COMPUTED_VALUE"""),44707.0)</f>
        <v>44707</v>
      </c>
      <c r="B248" s="32">
        <f>IFERROR(__xludf.DUMMYFUNCTION("FILTER(INFY.NS!H:H,INFY.NS!A:A=A248)"),0.009571413711226396)</f>
        <v>0.009571413711</v>
      </c>
      <c r="C248" s="32">
        <f>IFERROR(__xludf.DUMMYFUNCTION("FILTER(IRCTC.NS!H:H,IRCTC.NS!A:A=A248)"),-0.012433373775271449)</f>
        <v>-0.01243337378</v>
      </c>
      <c r="D248" s="32">
        <f>IFERROR(__xludf.DUMMYFUNCTION("FILTER(TATAELXSI.NS!H:H,TATAELXSI.NS!A:A=A248)"),0.016875560472499797)</f>
        <v>0.01687556047</v>
      </c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1">
        <f>IFERROR(__xludf.DUMMYFUNCTION("""COMPUTED_VALUE"""),44708.0)</f>
        <v>44708</v>
      </c>
      <c r="B249" s="32">
        <f>IFERROR(__xludf.DUMMYFUNCTION("FILTER(INFY.NS!H:H,INFY.NS!A:A=A249)"),0.026264985629400054)</f>
        <v>0.02626498563</v>
      </c>
      <c r="C249" s="32">
        <f>IFERROR(__xludf.DUMMYFUNCTION("FILTER(IRCTC.NS!H:H,IRCTC.NS!A:A=A249)"),0.020409739615524294)</f>
        <v>0.02040973962</v>
      </c>
      <c r="D249" s="32">
        <f>IFERROR(__xludf.DUMMYFUNCTION("FILTER(TATAELXSI.NS!H:H,TATAELXSI.NS!A:A=A249)"),0.00952385687040223)</f>
        <v>0.00952385687</v>
      </c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1">
        <f>IFERROR(__xludf.DUMMYFUNCTION("""COMPUTED_VALUE"""),44711.0)</f>
        <v>44711</v>
      </c>
      <c r="B250" s="32">
        <f>IFERROR(__xludf.DUMMYFUNCTION("FILTER(INFY.NS!H:H,INFY.NS!A:A=A250)"),0.04478740484818674)</f>
        <v>0.04478740485</v>
      </c>
      <c r="C250" s="32">
        <f>IFERROR(__xludf.DUMMYFUNCTION("FILTER(IRCTC.NS!H:H,IRCTC.NS!A:A=A250)"),0.06536893741370635)</f>
        <v>0.06536893741</v>
      </c>
      <c r="D250" s="32">
        <f>IFERROR(__xludf.DUMMYFUNCTION("FILTER(TATAELXSI.NS!H:H,TATAELXSI.NS!A:A=A250)"),-0.031210663891449976)</f>
        <v>-0.03121066389</v>
      </c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1">
        <f>IFERROR(__xludf.DUMMYFUNCTION("""COMPUTED_VALUE"""),44712.0)</f>
        <v>44712</v>
      </c>
      <c r="B251" s="32">
        <f>IFERROR(__xludf.DUMMYFUNCTION("FILTER(INFY.NS!H:H,INFY.NS!A:A=A251)"),-0.015195226785062787)</f>
        <v>-0.01519522679</v>
      </c>
      <c r="C251" s="32">
        <f>IFERROR(__xludf.DUMMYFUNCTION("FILTER(IRCTC.NS!H:H,IRCTC.NS!A:A=A251)"),-0.0035246037758458206)</f>
        <v>-0.003524603776</v>
      </c>
      <c r="D251" s="32">
        <f>IFERROR(__xludf.DUMMYFUNCTION("FILTER(TATAELXSI.NS!H:H,TATAELXSI.NS!A:A=A251)"),0.03768858650819345)</f>
        <v>0.03768858651</v>
      </c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1">
        <f>IFERROR(__xludf.DUMMYFUNCTION("""COMPUTED_VALUE"""),44713.0)</f>
        <v>44713</v>
      </c>
      <c r="B252" s="32">
        <f>IFERROR(__xludf.DUMMYFUNCTION("FILTER(INFY.NS!H:H,INFY.NS!A:A=A252)"),-0.016659967677466914)</f>
        <v>-0.01665996768</v>
      </c>
      <c r="C252" s="32">
        <f>IFERROR(__xludf.DUMMYFUNCTION("FILTER(IRCTC.NS!H:H,IRCTC.NS!A:A=A252)"),-0.0070021451410504035)</f>
        <v>-0.007002145141</v>
      </c>
      <c r="D252" s="32">
        <f>IFERROR(__xludf.DUMMYFUNCTION("FILTER(TATAELXSI.NS!H:H,TATAELXSI.NS!A:A=A252)"),0.0268342343477807)</f>
        <v>0.02683423435</v>
      </c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1">
        <f>IFERROR(__xludf.DUMMYFUNCTION("""COMPUTED_VALUE"""),44714.0)</f>
        <v>44714</v>
      </c>
      <c r="B253" s="32">
        <f>IFERROR(__xludf.DUMMYFUNCTION("FILTER(INFY.NS!H:H,INFY.NS!A:A=A253)"),0.019918129264490023)</f>
        <v>0.01991812926</v>
      </c>
      <c r="C253" s="32">
        <f>IFERROR(__xludf.DUMMYFUNCTION("FILTER(IRCTC.NS!H:H,IRCTC.NS!A:A=A253)"),-0.021372509823306386)</f>
        <v>-0.02137250982</v>
      </c>
      <c r="D253" s="32">
        <f>IFERROR(__xludf.DUMMYFUNCTION("FILTER(TATAELXSI.NS!H:H,TATAELXSI.NS!A:A=A253)"),0.002690029165698259)</f>
        <v>0.002690029166</v>
      </c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1">
        <f>IFERROR(__xludf.DUMMYFUNCTION("""COMPUTED_VALUE"""),44715.0)</f>
        <v>44715</v>
      </c>
      <c r="B254" s="32">
        <f>IFERROR(__xludf.DUMMYFUNCTION("FILTER(INFY.NS!H:H,INFY.NS!A:A=A254)"),0.009084848143236112)</f>
        <v>0.009084848143</v>
      </c>
      <c r="C254" s="32">
        <f>IFERROR(__xludf.DUMMYFUNCTION("FILTER(IRCTC.NS!H:H,IRCTC.NS!A:A=A254)"),-0.011439536880922337)</f>
        <v>-0.01143953688</v>
      </c>
      <c r="D254" s="32">
        <f>IFERROR(__xludf.DUMMYFUNCTION("FILTER(TATAELXSI.NS!H:H,TATAELXSI.NS!A:A=A254)"),-0.022696392706779825)</f>
        <v>-0.02269639271</v>
      </c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1">
        <f>IFERROR(__xludf.DUMMYFUNCTION("""COMPUTED_VALUE"""),44718.0)</f>
        <v>44718</v>
      </c>
      <c r="B255" s="32">
        <f>IFERROR(__xludf.DUMMYFUNCTION("FILTER(INFY.NS!H:H,INFY.NS!A:A=A255)"),0.005487348537083503)</f>
        <v>0.005487348537</v>
      </c>
      <c r="C255" s="32">
        <f>IFERROR(__xludf.DUMMYFUNCTION("FILTER(IRCTC.NS!H:H,IRCTC.NS!A:A=A255)"),-0.011271415283267257)</f>
        <v>-0.01127141528</v>
      </c>
      <c r="D255" s="32">
        <f>IFERROR(__xludf.DUMMYFUNCTION("FILTER(TATAELXSI.NS!H:H,TATAELXSI.NS!A:A=A255)"),0.031179988981786165)</f>
        <v>0.03117998898</v>
      </c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1">
        <f>IFERROR(__xludf.DUMMYFUNCTION("""COMPUTED_VALUE"""),44719.0)</f>
        <v>44719</v>
      </c>
      <c r="B256" s="32">
        <f>IFERROR(__xludf.DUMMYFUNCTION("FILTER(INFY.NS!H:H,INFY.NS!A:A=A256)"),-0.015261002746453223)</f>
        <v>-0.01526100275</v>
      </c>
      <c r="C256" s="32">
        <f>IFERROR(__xludf.DUMMYFUNCTION("FILTER(IRCTC.NS!H:H,IRCTC.NS!A:A=A256)"),-0.004863979150728857)</f>
        <v>-0.004863979151</v>
      </c>
      <c r="D256" s="32">
        <f>IFERROR(__xludf.DUMMYFUNCTION("FILTER(TATAELXSI.NS!H:H,TATAELXSI.NS!A:A=A256)"),-0.008957929107373778)</f>
        <v>-0.008957929107</v>
      </c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1">
        <f>IFERROR(__xludf.DUMMYFUNCTION("""COMPUTED_VALUE"""),44720.0)</f>
        <v>44720</v>
      </c>
      <c r="B257" s="32">
        <f>IFERROR(__xludf.DUMMYFUNCTION("FILTER(INFY.NS!H:H,INFY.NS!A:A=A257)"),-0.00444677189745263)</f>
        <v>-0.004446771897</v>
      </c>
      <c r="C257" s="32">
        <f>IFERROR(__xludf.DUMMYFUNCTION("FILTER(IRCTC.NS!H:H,IRCTC.NS!A:A=A257)"),-0.01084471646534817)</f>
        <v>-0.01084471647</v>
      </c>
      <c r="D257" s="32">
        <f>IFERROR(__xludf.DUMMYFUNCTION("FILTER(TATAELXSI.NS!H:H,TATAELXSI.NS!A:A=A257)"),-0.0010906280699248601)</f>
        <v>-0.00109062807</v>
      </c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1">
        <f>IFERROR(__xludf.DUMMYFUNCTION("""COMPUTED_VALUE"""),44721.0)</f>
        <v>44721</v>
      </c>
      <c r="B258" s="32">
        <f>IFERROR(__xludf.DUMMYFUNCTION("FILTER(INFY.NS!H:H,INFY.NS!A:A=A258)"),0.01)</f>
        <v>0.01</v>
      </c>
      <c r="C258" s="32">
        <f>IFERROR(__xludf.DUMMYFUNCTION("FILTER(IRCTC.NS!H:H,IRCTC.NS!A:A=A258)"),0.0029339469895224802)</f>
        <v>0.00293394699</v>
      </c>
      <c r="D258" s="32">
        <f>IFERROR(__xludf.DUMMYFUNCTION("FILTER(TATAELXSI.NS!H:H,TATAELXSI.NS!A:A=A258)"),0.009832722002406863)</f>
        <v>0.009832722002</v>
      </c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1">
        <f>IFERROR(__xludf.DUMMYFUNCTION("""COMPUTED_VALUE"""),44722.0)</f>
        <v>44722</v>
      </c>
      <c r="B259" s="32">
        <f>IFERROR(__xludf.DUMMYFUNCTION("FILTER(INFY.NS!H:H,INFY.NS!A:A=A259)"),-0.02521448910891093)</f>
        <v>-0.02521448911</v>
      </c>
      <c r="C259" s="32">
        <f>IFERROR(__xludf.DUMMYFUNCTION("FILTER(IRCTC.NS!H:H,IRCTC.NS!A:A=A259)"),-0.007467245573518044)</f>
        <v>-0.007467245574</v>
      </c>
      <c r="D259" s="32">
        <f>IFERROR(__xludf.DUMMYFUNCTION("FILTER(TATAELXSI.NS!H:H,TATAELXSI.NS!A:A=A259)"),-0.010432872697070808)</f>
        <v>-0.0104328727</v>
      </c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1">
        <f>IFERROR(__xludf.DUMMYFUNCTION("""COMPUTED_VALUE"""),44725.0)</f>
        <v>44725</v>
      </c>
      <c r="B260" s="32">
        <f>IFERROR(__xludf.DUMMYFUNCTION("FILTER(INFY.NS!H:H,INFY.NS!A:A=A260)"),-0.03541444153893033)</f>
        <v>-0.03541444154</v>
      </c>
      <c r="C260" s="32">
        <f>IFERROR(__xludf.DUMMYFUNCTION("FILTER(IRCTC.NS!H:H,IRCTC.NS!A:A=A260)"),-0.027922127247140223)</f>
        <v>-0.02792212725</v>
      </c>
      <c r="D260" s="32">
        <f>IFERROR(__xludf.DUMMYFUNCTION("FILTER(TATAELXSI.NS!H:H,TATAELXSI.NS!A:A=A260)"),-0.016378242754897337)</f>
        <v>-0.01637824275</v>
      </c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1">
        <f>IFERROR(__xludf.DUMMYFUNCTION("""COMPUTED_VALUE"""),44726.0)</f>
        <v>44726</v>
      </c>
      <c r="B261" s="32">
        <f>IFERROR(__xludf.DUMMYFUNCTION("FILTER(INFY.NS!H:H,INFY.NS!A:A=A261)"),0.011267145665145625)</f>
        <v>0.01126714567</v>
      </c>
      <c r="C261" s="32">
        <f>IFERROR(__xludf.DUMMYFUNCTION("FILTER(IRCTC.NS!H:H,IRCTC.NS!A:A=A261)"),-0.00550548450948438)</f>
        <v>-0.005505484509</v>
      </c>
      <c r="D261" s="32">
        <f>IFERROR(__xludf.DUMMYFUNCTION("FILTER(TATAELXSI.NS!H:H,TATAELXSI.NS!A:A=A261)"),-0.008892696761994801)</f>
        <v>-0.008892696762</v>
      </c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1">
        <f>IFERROR(__xludf.DUMMYFUNCTION("""COMPUTED_VALUE"""),44727.0)</f>
        <v>44727</v>
      </c>
      <c r="B262" s="32">
        <f>IFERROR(__xludf.DUMMYFUNCTION("FILTER(INFY.NS!H:H,INFY.NS!A:A=A262)"),-0.012738257870830761)</f>
        <v>-0.01273825787</v>
      </c>
      <c r="C262" s="32">
        <f>IFERROR(__xludf.DUMMYFUNCTION("FILTER(IRCTC.NS!H:H,IRCTC.NS!A:A=A262)"),2.4063542540489306E-4)</f>
        <v>0.0002406354254</v>
      </c>
      <c r="D262" s="32">
        <f>IFERROR(__xludf.DUMMYFUNCTION("FILTER(TATAELXSI.NS!H:H,TATAELXSI.NS!A:A=A262)"),-0.027078438966226474)</f>
        <v>-0.02707843897</v>
      </c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1">
        <f>IFERROR(__xludf.DUMMYFUNCTION("""COMPUTED_VALUE"""),44728.0)</f>
        <v>44728</v>
      </c>
      <c r="B263" s="32">
        <f>IFERROR(__xludf.DUMMYFUNCTION("FILTER(INFY.NS!H:H,INFY.NS!A:A=A263)"),-0.01757840026813501)</f>
        <v>-0.01757840027</v>
      </c>
      <c r="C263" s="32">
        <f>IFERROR(__xludf.DUMMYFUNCTION("FILTER(IRCTC.NS!H:H,IRCTC.NS!A:A=A263)"),-0.03729846939145467)</f>
        <v>-0.03729846939</v>
      </c>
      <c r="D263" s="32">
        <f>IFERROR(__xludf.DUMMYFUNCTION("FILTER(TATAELXSI.NS!H:H,TATAELXSI.NS!A:A=A263)"),-0.02055848008367161)</f>
        <v>-0.02055848008</v>
      </c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1">
        <f>IFERROR(__xludf.DUMMYFUNCTION("""COMPUTED_VALUE"""),44729.0)</f>
        <v>44729</v>
      </c>
      <c r="B264" s="32">
        <f>IFERROR(__xludf.DUMMYFUNCTION("FILTER(INFY.NS!H:H,INFY.NS!A:A=A264)"),-0.0070855298791805575)</f>
        <v>-0.007085529879</v>
      </c>
      <c r="C264" s="32">
        <f>IFERROR(__xludf.DUMMYFUNCTION("FILTER(IRCTC.NS!H:H,IRCTC.NS!A:A=A264)"),-0.009581736760476058)</f>
        <v>-0.00958173676</v>
      </c>
      <c r="D264" s="32">
        <f>IFERROR(__xludf.DUMMYFUNCTION("FILTER(TATAELXSI.NS!H:H,TATAELXSI.NS!A:A=A264)"),-0.02240390973305264)</f>
        <v>-0.02240390973</v>
      </c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1">
        <f>IFERROR(__xludf.DUMMYFUNCTION("""COMPUTED_VALUE"""),44732.0)</f>
        <v>44732</v>
      </c>
      <c r="B265" s="32">
        <f>IFERROR(__xludf.DUMMYFUNCTION("FILTER(INFY.NS!H:H,INFY.NS!A:A=A265)"),0.01935412243325026)</f>
        <v>0.01935412243</v>
      </c>
      <c r="C265" s="32">
        <f>IFERROR(__xludf.DUMMYFUNCTION("FILTER(IRCTC.NS!H:H,IRCTC.NS!A:A=A265)"),-0.03381841812339868)</f>
        <v>-0.03381841812</v>
      </c>
      <c r="D265" s="32">
        <f>IFERROR(__xludf.DUMMYFUNCTION("FILTER(TATAELXSI.NS!H:H,TATAELXSI.NS!A:A=A265)"),-0.07142079945228202)</f>
        <v>-0.07142079945</v>
      </c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1">
        <f>IFERROR(__xludf.DUMMYFUNCTION("""COMPUTED_VALUE"""),44733.0)</f>
        <v>44733</v>
      </c>
      <c r="B266" s="32">
        <f>IFERROR(__xludf.DUMMYFUNCTION("FILTER(INFY.NS!H:H,INFY.NS!A:A=A266)"),0.025280203226867817)</f>
        <v>0.02528020323</v>
      </c>
      <c r="C266" s="32">
        <f>IFERROR(__xludf.DUMMYFUNCTION("FILTER(IRCTC.NS!H:H,IRCTC.NS!A:A=A266)"),0.044579845015237214)</f>
        <v>0.04457984502</v>
      </c>
      <c r="D266" s="32">
        <f>IFERROR(__xludf.DUMMYFUNCTION("FILTER(TATAELXSI.NS!H:H,TATAELXSI.NS!A:A=A266)"),0.040903670784570356)</f>
        <v>0.04090367078</v>
      </c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1">
        <f>IFERROR(__xludf.DUMMYFUNCTION("""COMPUTED_VALUE"""),44734.0)</f>
        <v>44734</v>
      </c>
      <c r="B267" s="32">
        <f>IFERROR(__xludf.DUMMYFUNCTION("FILTER(INFY.NS!H:H,INFY.NS!A:A=A267)"),-0.00872475604566238)</f>
        <v>-0.008724756046</v>
      </c>
      <c r="C267" s="32">
        <f>IFERROR(__xludf.DUMMYFUNCTION("FILTER(IRCTC.NS!H:H,IRCTC.NS!A:A=A267)"),-0.01675416921246986)</f>
        <v>-0.01675416921</v>
      </c>
      <c r="D267" s="32">
        <f>IFERROR(__xludf.DUMMYFUNCTION("FILTER(TATAELXSI.NS!H:H,TATAELXSI.NS!A:A=A267)"),-0.007852679197843857)</f>
        <v>-0.007852679198</v>
      </c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1">
        <f>IFERROR(__xludf.DUMMYFUNCTION("""COMPUTED_VALUE"""),44735.0)</f>
        <v>44735</v>
      </c>
      <c r="B268" s="32">
        <f>IFERROR(__xludf.DUMMYFUNCTION("FILTER(INFY.NS!H:H,INFY.NS!A:A=A268)"),0.010575718211862971)</f>
        <v>0.01057571821</v>
      </c>
      <c r="C268" s="32">
        <f>IFERROR(__xludf.DUMMYFUNCTION("FILTER(IRCTC.NS!H:H,IRCTC.NS!A:A=A268)"),-5.08626663451178E-4)</f>
        <v>-0.0005086266635</v>
      </c>
      <c r="D268" s="32">
        <f>IFERROR(__xludf.DUMMYFUNCTION("FILTER(TATAELXSI.NS!H:H,TATAELXSI.NS!A:A=A268)"),0.03947386085680003)</f>
        <v>0.03947386086</v>
      </c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1">
        <f>IFERROR(__xludf.DUMMYFUNCTION("""COMPUTED_VALUE"""),44736.0)</f>
        <v>44736</v>
      </c>
      <c r="B269" s="32">
        <f>IFERROR(__xludf.DUMMYFUNCTION("FILTER(INFY.NS!H:H,INFY.NS!A:A=A269)"),-0.007814365646255638)</f>
        <v>-0.007814365646</v>
      </c>
      <c r="C269" s="32">
        <f>IFERROR(__xludf.DUMMYFUNCTION("FILTER(IRCTC.NS!H:H,IRCTC.NS!A:A=A269)"),0.011874469889737066)</f>
        <v>0.01187446989</v>
      </c>
      <c r="D269" s="32">
        <f>IFERROR(__xludf.DUMMYFUNCTION("FILTER(TATAELXSI.NS!H:H,TATAELXSI.NS!A:A=A269)"),8.089692744331696E-4)</f>
        <v>0.0008089692744</v>
      </c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1">
        <f>IFERROR(__xludf.DUMMYFUNCTION("""COMPUTED_VALUE"""),44739.0)</f>
        <v>44739</v>
      </c>
      <c r="B270" s="32">
        <f>IFERROR(__xludf.DUMMYFUNCTION("FILTER(INFY.NS!H:H,INFY.NS!A:A=A270)"),0.02324613181452166)</f>
        <v>0.02324613181</v>
      </c>
      <c r="C270" s="32">
        <f>IFERROR(__xludf.DUMMYFUNCTION("FILTER(IRCTC.NS!H:H,IRCTC.NS!A:A=A270)"),0.027661357921207042)</f>
        <v>0.02766135792</v>
      </c>
      <c r="D270" s="32">
        <f>IFERROR(__xludf.DUMMYFUNCTION("FILTER(TATAELXSI.NS!H:H,TATAELXSI.NS!A:A=A270)"),0.02530679242270803)</f>
        <v>0.02530679242</v>
      </c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1">
        <f>IFERROR(__xludf.DUMMYFUNCTION("""COMPUTED_VALUE"""),44740.0)</f>
        <v>44740</v>
      </c>
      <c r="B271" s="32">
        <f>IFERROR(__xludf.DUMMYFUNCTION("FILTER(INFY.NS!H:H,INFY.NS!A:A=A271)"),0.003763765150095229)</f>
        <v>0.00376376515</v>
      </c>
      <c r="C271" s="32">
        <f>IFERROR(__xludf.DUMMYFUNCTION("FILTER(IRCTC.NS!H:H,IRCTC.NS!A:A=A271)"),0.011500796084828686)</f>
        <v>0.01150079608</v>
      </c>
      <c r="D271" s="32">
        <f>IFERROR(__xludf.DUMMYFUNCTION("FILTER(TATAELXSI.NS!H:H,TATAELXSI.NS!A:A=A271)"),0.0056434376654166335)</f>
        <v>0.005643437665</v>
      </c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1">
        <f>IFERROR(__xludf.DUMMYFUNCTION("""COMPUTED_VALUE"""),44741.0)</f>
        <v>44741</v>
      </c>
      <c r="B272" s="32">
        <f>IFERROR(__xludf.DUMMYFUNCTION("FILTER(INFY.NS!H:H,INFY.NS!A:A=A272)"),-0.011417777742778343)</f>
        <v>-0.01141777774</v>
      </c>
      <c r="C272" s="32">
        <f>IFERROR(__xludf.DUMMYFUNCTION("FILTER(IRCTC.NS!H:H,IRCTC.NS!A:A=A272)"),-0.03048135531937137)</f>
        <v>-0.03048135532</v>
      </c>
      <c r="D272" s="32">
        <f>IFERROR(__xludf.DUMMYFUNCTION("FILTER(TATAELXSI.NS!H:H,TATAELXSI.NS!A:A=A272)"),0.018620814434897496)</f>
        <v>0.01862081443</v>
      </c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1">
        <f>IFERROR(__xludf.DUMMYFUNCTION("""COMPUTED_VALUE"""),44742.0)</f>
        <v>44742</v>
      </c>
      <c r="B273" s="32">
        <f>IFERROR(__xludf.DUMMYFUNCTION("FILTER(INFY.NS!H:H,INFY.NS!A:A=A273)"),-9.225873910814759E-4)</f>
        <v>-0.0009225873911</v>
      </c>
      <c r="C273" s="32">
        <f>IFERROR(__xludf.DUMMYFUNCTION("FILTER(IRCTC.NS!H:H,IRCTC.NS!A:A=A273)"),-0.0415038027179718)</f>
        <v>-0.04150380272</v>
      </c>
      <c r="D273" s="32">
        <f>IFERROR(__xludf.DUMMYFUNCTION("FILTER(TATAELXSI.NS!H:H,TATAELXSI.NS!A:A=A273)"),-0.001930077850428165)</f>
        <v>-0.00193007785</v>
      </c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1">
        <f>IFERROR(__xludf.DUMMYFUNCTION("""COMPUTED_VALUE"""),44743.0)</f>
        <v>44743</v>
      </c>
      <c r="B274" s="32">
        <f>IFERROR(__xludf.DUMMYFUNCTION("FILTER(INFY.NS!H:H,INFY.NS!A:A=A274)"),0.011970722835147857)</f>
        <v>0.01197072284</v>
      </c>
      <c r="C274" s="32">
        <f>IFERROR(__xludf.DUMMYFUNCTION("FILTER(IRCTC.NS!H:H,IRCTC.NS!A:A=A274)"),0.005206525403543379)</f>
        <v>0.005206525404</v>
      </c>
      <c r="D274" s="32">
        <f>IFERROR(__xludf.DUMMYFUNCTION("FILTER(TATAELXSI.NS!H:H,TATAELXSI.NS!A:A=A274)"),-0.0022642295122757656)</f>
        <v>-0.002264229512</v>
      </c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1">
        <f>IFERROR(__xludf.DUMMYFUNCTION("""COMPUTED_VALUE"""),44746.0)</f>
        <v>44746</v>
      </c>
      <c r="B275" s="32">
        <f>IFERROR(__xludf.DUMMYFUNCTION("FILTER(INFY.NS!H:H,INFY.NS!A:A=A275)"),0.005813151183239382)</f>
        <v>0.005813151183</v>
      </c>
      <c r="C275" s="32">
        <f>IFERROR(__xludf.DUMMYFUNCTION("FILTER(IRCTC.NS!H:H,IRCTC.NS!A:A=A275)"),-0.006560752626503717)</f>
        <v>-0.006560752627</v>
      </c>
      <c r="D275" s="32">
        <f>IFERROR(__xludf.DUMMYFUNCTION("FILTER(TATAELXSI.NS!H:H,TATAELXSI.NS!A:A=A275)"),-0.00866652003974104)</f>
        <v>-0.00866652004</v>
      </c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1">
        <f>IFERROR(__xludf.DUMMYFUNCTION("""COMPUTED_VALUE"""),44747.0)</f>
        <v>44747</v>
      </c>
      <c r="B276" s="32">
        <f>IFERROR(__xludf.DUMMYFUNCTION("FILTER(INFY.NS!H:H,INFY.NS!A:A=A276)"),-0.008098151209677383)</f>
        <v>-0.00809815121</v>
      </c>
      <c r="C276" s="32">
        <f>IFERROR(__xludf.DUMMYFUNCTION("FILTER(IRCTC.NS!H:H,IRCTC.NS!A:A=A276)"),-0.007907625669476963)</f>
        <v>-0.007907625669</v>
      </c>
      <c r="D276" s="32">
        <f>IFERROR(__xludf.DUMMYFUNCTION("FILTER(TATAELXSI.NS!H:H,TATAELXSI.NS!A:A=A276)"),-0.009676505054606535)</f>
        <v>-0.009676505055</v>
      </c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1">
        <f>IFERROR(__xludf.DUMMYFUNCTION("""COMPUTED_VALUE"""),44748.0)</f>
        <v>44748</v>
      </c>
      <c r="B277" s="32">
        <f>IFERROR(__xludf.DUMMYFUNCTION("FILTER(INFY.NS!H:H,INFY.NS!A:A=A277)"),0.010637266520699233)</f>
        <v>0.01063726652</v>
      </c>
      <c r="C277" s="32">
        <f>IFERROR(__xludf.DUMMYFUNCTION("FILTER(IRCTC.NS!H:H,IRCTC.NS!A:A=A277)"),0.011298961673250583)</f>
        <v>0.01129896167</v>
      </c>
      <c r="D277" s="32">
        <f>IFERROR(__xludf.DUMMYFUNCTION("FILTER(TATAELXSI.NS!H:H,TATAELXSI.NS!A:A=A277)"),-0.0036672951175627136)</f>
        <v>-0.003667295118</v>
      </c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1">
        <f>IFERROR(__xludf.DUMMYFUNCTION("""COMPUTED_VALUE"""),44749.0)</f>
        <v>44749</v>
      </c>
      <c r="B278" s="32">
        <f>IFERROR(__xludf.DUMMYFUNCTION("FILTER(INFY.NS!H:H,INFY.NS!A:A=A278)"),0.004726260776033095)</f>
        <v>0.004726260776</v>
      </c>
      <c r="C278" s="32">
        <f>IFERROR(__xludf.DUMMYFUNCTION("FILTER(IRCTC.NS!H:H,IRCTC.NS!A:A=A278)"),0.009267341263135529)</f>
        <v>0.009267341263</v>
      </c>
      <c r="D278" s="32">
        <f>IFERROR(__xludf.DUMMYFUNCTION("FILTER(TATAELXSI.NS!H:H,TATAELXSI.NS!A:A=A278)"),0.01367592852383218)</f>
        <v>0.01367592852</v>
      </c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1">
        <f>IFERROR(__xludf.DUMMYFUNCTION("""COMPUTED_VALUE"""),44750.0)</f>
        <v>44750</v>
      </c>
      <c r="B279" s="32">
        <f>IFERROR(__xludf.DUMMYFUNCTION("FILTER(INFY.NS!H:H,INFY.NS!A:A=A279)"),0.010509108237103024)</f>
        <v>0.01050910824</v>
      </c>
      <c r="C279" s="32">
        <f>IFERROR(__xludf.DUMMYFUNCTION("FILTER(IRCTC.NS!H:H,IRCTC.NS!A:A=A279)"),0.010898439437805583)</f>
        <v>0.01089843944</v>
      </c>
      <c r="D279" s="32">
        <f>IFERROR(__xludf.DUMMYFUNCTION("FILTER(TATAELXSI.NS!H:H,TATAELXSI.NS!A:A=A279)"),-0.011103688167385646)</f>
        <v>-0.01110368817</v>
      </c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1">
        <f>IFERROR(__xludf.DUMMYFUNCTION("""COMPUTED_VALUE"""),44753.0)</f>
        <v>44753</v>
      </c>
      <c r="B280" s="32">
        <f>IFERROR(__xludf.DUMMYFUNCTION("FILTER(INFY.NS!H:H,INFY.NS!A:A=A280)"),-0.02727057897999828)</f>
        <v>-0.02727057898</v>
      </c>
      <c r="C280" s="32">
        <f>IFERROR(__xludf.DUMMYFUNCTION("FILTER(IRCTC.NS!H:H,IRCTC.NS!A:A=A280)"),0.006621432937181715)</f>
        <v>0.006621432937</v>
      </c>
      <c r="D280" s="32">
        <f>IFERROR(__xludf.DUMMYFUNCTION("FILTER(TATAELXSI.NS!H:H,TATAELXSI.NS!A:A=A280)"),0.006611923790741875)</f>
        <v>0.006611923791</v>
      </c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1">
        <f>IFERROR(__xludf.DUMMYFUNCTION("""COMPUTED_VALUE"""),44754.0)</f>
        <v>44754</v>
      </c>
      <c r="B281" s="32">
        <f>IFERROR(__xludf.DUMMYFUNCTION("FILTER(INFY.NS!H:H,INFY.NS!A:A=A281)"),-0.02345317682321815)</f>
        <v>-0.02345317682</v>
      </c>
      <c r="C281" s="32">
        <f>IFERROR(__xludf.DUMMYFUNCTION("FILTER(IRCTC.NS!H:H,IRCTC.NS!A:A=A281)"),-0.0044695967156851224)</f>
        <v>-0.004469596716</v>
      </c>
      <c r="D281" s="32">
        <f>IFERROR(__xludf.DUMMYFUNCTION("FILTER(TATAELXSI.NS!H:H,TATAELXSI.NS!A:A=A281)"),-0.010937111608252548)</f>
        <v>-0.01093711161</v>
      </c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1">
        <f>IFERROR(__xludf.DUMMYFUNCTION("""COMPUTED_VALUE"""),44755.0)</f>
        <v>44755</v>
      </c>
      <c r="B282" s="32">
        <f>IFERROR(__xludf.DUMMYFUNCTION("FILTER(INFY.NS!H:H,INFY.NS!A:A=A282)"),0.0040664361862884435)</f>
        <v>0.004066436186</v>
      </c>
      <c r="C282" s="32">
        <f>IFERROR(__xludf.DUMMYFUNCTION("FILTER(IRCTC.NS!H:H,IRCTC.NS!A:A=A282)"),0.0043201829733163655)</f>
        <v>0.004320182973</v>
      </c>
      <c r="D282" s="32">
        <f>IFERROR(__xludf.DUMMYFUNCTION("FILTER(TATAELXSI.NS!H:H,TATAELXSI.NS!A:A=A282)"),-0.030987697662729314)</f>
        <v>-0.03098769766</v>
      </c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1">
        <f>IFERROR(__xludf.DUMMYFUNCTION("""COMPUTED_VALUE"""),44756.0)</f>
        <v>44756</v>
      </c>
      <c r="B283" s="32">
        <f>IFERROR(__xludf.DUMMYFUNCTION("FILTER(INFY.NS!H:H,INFY.NS!A:A=A283)"),-0.010799941520438382)</f>
        <v>-0.01079994152</v>
      </c>
      <c r="C283" s="32">
        <f>IFERROR(__xludf.DUMMYFUNCTION("FILTER(IRCTC.NS!H:H,IRCTC.NS!A:A=A283)"),-0.01197701778630935)</f>
        <v>-0.01197701779</v>
      </c>
      <c r="D283" s="32">
        <f>IFERROR(__xludf.DUMMYFUNCTION("FILTER(TATAELXSI.NS!H:H,TATAELXSI.NS!A:A=A283)"),0.011431115506944116)</f>
        <v>0.01143111551</v>
      </c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1">
        <f>IFERROR(__xludf.DUMMYFUNCTION("""COMPUTED_VALUE"""),44757.0)</f>
        <v>44757</v>
      </c>
      <c r="B284" s="32">
        <f>IFERROR(__xludf.DUMMYFUNCTION("FILTER(INFY.NS!H:H,INFY.NS!A:A=A284)"),0.0010497953075515886)</f>
        <v>0.001049795308</v>
      </c>
      <c r="C284" s="32">
        <f>IFERROR(__xludf.DUMMYFUNCTION("FILTER(IRCTC.NS!H:H,IRCTC.NS!A:A=A284)"),0.009475820191719553)</f>
        <v>0.009475820192</v>
      </c>
      <c r="D284" s="32">
        <f>IFERROR(__xludf.DUMMYFUNCTION("FILTER(TATAELXSI.NS!H:H,TATAELXSI.NS!A:A=A284)"),0.03346991807561132)</f>
        <v>0.03346991808</v>
      </c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1">
        <f>IFERROR(__xludf.DUMMYFUNCTION("""COMPUTED_VALUE"""),44760.0)</f>
        <v>44760</v>
      </c>
      <c r="B285" s="32">
        <f>IFERROR(__xludf.DUMMYFUNCTION("FILTER(INFY.NS!H:H,INFY.NS!A:A=A285)"),0.041633200964237345)</f>
        <v>0.04163320096</v>
      </c>
      <c r="C285" s="32">
        <f>IFERROR(__xludf.DUMMYFUNCTION("FILTER(IRCTC.NS!H:H,IRCTC.NS!A:A=A285)"),0.02156448202959831)</f>
        <v>0.02156448203</v>
      </c>
      <c r="D285" s="32">
        <f>IFERROR(__xludf.DUMMYFUNCTION("FILTER(TATAELXSI.NS!H:H,TATAELXSI.NS!A:A=A285)"),0.005390381171592984)</f>
        <v>0.005390381172</v>
      </c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1">
        <f>IFERROR(__xludf.DUMMYFUNCTION("""COMPUTED_VALUE"""),44761.0)</f>
        <v>44761</v>
      </c>
      <c r="B286" s="32">
        <f>IFERROR(__xludf.DUMMYFUNCTION("FILTER(INFY.NS!H:H,INFY.NS!A:A=A286)"),-0.003859319355242859)</f>
        <v>-0.003859319355</v>
      </c>
      <c r="C286" s="32">
        <f>IFERROR(__xludf.DUMMYFUNCTION("FILTER(IRCTC.NS!H:H,IRCTC.NS!A:A=A286)"),0.006208609271523178)</f>
        <v>0.006208609272</v>
      </c>
      <c r="D286" s="32">
        <f>IFERROR(__xludf.DUMMYFUNCTION("FILTER(TATAELXSI.NS!H:H,TATAELXSI.NS!A:A=A286)"),-0.0030416771358921257)</f>
        <v>-0.003041677136</v>
      </c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1">
        <f>IFERROR(__xludf.DUMMYFUNCTION("""COMPUTED_VALUE"""),44762.0)</f>
        <v>44762</v>
      </c>
      <c r="B287" s="32">
        <f>IFERROR(__xludf.DUMMYFUNCTION("FILTER(INFY.NS!H:H,INFY.NS!A:A=A287)"),0.020988461069485462)</f>
        <v>0.02098846107</v>
      </c>
      <c r="C287" s="32">
        <f>IFERROR(__xludf.DUMMYFUNCTION("FILTER(IRCTC.NS!H:H,IRCTC.NS!A:A=A287)"),6.582048539696098E-4)</f>
        <v>0.000658204854</v>
      </c>
      <c r="D287" s="32">
        <f>IFERROR(__xludf.DUMMYFUNCTION("FILTER(TATAELXSI.NS!H:H,TATAELXSI.NS!A:A=A287)"),0.004257729957330628)</f>
        <v>0.004257729957</v>
      </c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1">
        <f>IFERROR(__xludf.DUMMYFUNCTION("""COMPUTED_VALUE"""),44763.0)</f>
        <v>44763</v>
      </c>
      <c r="B288" s="32">
        <f>IFERROR(__xludf.DUMMYFUNCTION("FILTER(INFY.NS!H:H,INFY.NS!A:A=A288)"),0.011614844869578755)</f>
        <v>0.01161484487</v>
      </c>
      <c r="C288" s="32">
        <f>IFERROR(__xludf.DUMMYFUNCTION("FILTER(IRCTC.NS!H:H,IRCTC.NS!A:A=A288)"),-4.933782589147126E-4)</f>
        <v>-0.0004933782589</v>
      </c>
      <c r="D288" s="32">
        <f>IFERROR(__xludf.DUMMYFUNCTION("FILTER(TATAELXSI.NS!H:H,TATAELXSI.NS!A:A=A288)"),0.010167862405128804)</f>
        <v>0.01016786241</v>
      </c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1">
        <f>IFERROR(__xludf.DUMMYFUNCTION("""COMPUTED_VALUE"""),44764.0)</f>
        <v>44764</v>
      </c>
      <c r="B289" s="32">
        <f>IFERROR(__xludf.DUMMYFUNCTION("FILTER(INFY.NS!H:H,INFY.NS!A:A=A289)"),-0.01735271353874027)</f>
        <v>-0.01735271354</v>
      </c>
      <c r="C289" s="32">
        <f>IFERROR(__xludf.DUMMYFUNCTION("FILTER(IRCTC.NS!H:H,IRCTC.NS!A:A=A289)"),0.003125810767491139)</f>
        <v>0.003125810767</v>
      </c>
      <c r="D289" s="32">
        <f>IFERROR(__xludf.DUMMYFUNCTION("FILTER(TATAELXSI.NS!H:H,TATAELXSI.NS!A:A=A289)"),0.023181192064752686)</f>
        <v>0.02318119206</v>
      </c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1">
        <f>IFERROR(__xludf.DUMMYFUNCTION("""COMPUTED_VALUE"""),44767.0)</f>
        <v>44767</v>
      </c>
      <c r="B290" s="32">
        <f>IFERROR(__xludf.DUMMYFUNCTION("FILTER(INFY.NS!H:H,INFY.NS!A:A=A290)"),-0.0017925200240101532)</f>
        <v>-0.001792520024</v>
      </c>
      <c r="C290" s="32">
        <f>IFERROR(__xludf.DUMMYFUNCTION("FILTER(IRCTC.NS!H:H,IRCTC.NS!A:A=A290)"),-0.017138191061910644)</f>
        <v>-0.01713819106</v>
      </c>
      <c r="D290" s="32">
        <f>IFERROR(__xludf.DUMMYFUNCTION("FILTER(TATAELXSI.NS!H:H,TATAELXSI.NS!A:A=A290)"),0.017063614386249412)</f>
        <v>0.01706361439</v>
      </c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1">
        <f>IFERROR(__xludf.DUMMYFUNCTION("""COMPUTED_VALUE"""),44768.0)</f>
        <v>44768</v>
      </c>
      <c r="B291" s="32">
        <f>IFERROR(__xludf.DUMMYFUNCTION("FILTER(INFY.NS!H:H,INFY.NS!A:A=A291)"),-0.03488291622585124)</f>
        <v>-0.03488291623</v>
      </c>
      <c r="C291" s="32">
        <f>IFERROR(__xludf.DUMMYFUNCTION("FILTER(IRCTC.NS!H:H,IRCTC.NS!A:A=A291)"),-0.0054229936009943655)</f>
        <v>-0.005422993601</v>
      </c>
      <c r="D291" s="32">
        <f>IFERROR(__xludf.DUMMYFUNCTION("FILTER(TATAELXSI.NS!H:H,TATAELXSI.NS!A:A=A291)"),-0.01970837084601797)</f>
        <v>-0.01970837085</v>
      </c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1">
        <f>IFERROR(__xludf.DUMMYFUNCTION("""COMPUTED_VALUE"""),44769.0)</f>
        <v>44769</v>
      </c>
      <c r="B292" s="32">
        <f>IFERROR(__xludf.DUMMYFUNCTION("FILTER(INFY.NS!H:H,INFY.NS!A:A=A292)"),0.013713278896655218)</f>
        <v>0.0137132789</v>
      </c>
      <c r="C292" s="32">
        <f>IFERROR(__xludf.DUMMYFUNCTION("FILTER(IRCTC.NS!H:H,IRCTC.NS!A:A=A292)"),0.008220827277325657)</f>
        <v>0.008220827277</v>
      </c>
      <c r="D292" s="32">
        <f>IFERROR(__xludf.DUMMYFUNCTION("FILTER(TATAELXSI.NS!H:H,TATAELXSI.NS!A:A=A292)"),0.014363865523417702)</f>
        <v>0.01436386552</v>
      </c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1">
        <f>IFERROR(__xludf.DUMMYFUNCTION("""COMPUTED_VALUE"""),44770.0)</f>
        <v>44770</v>
      </c>
      <c r="B293" s="32">
        <f>IFERROR(__xludf.DUMMYFUNCTION("FILTER(INFY.NS!H:H,INFY.NS!A:A=A293)"),0.03150808841038969)</f>
        <v>0.03150808841</v>
      </c>
      <c r="C293" s="32">
        <f>IFERROR(__xludf.DUMMYFUNCTION("FILTER(IRCTC.NS!H:H,IRCTC.NS!A:A=A293)"),0.0025792295017043527)</f>
        <v>0.002579229502</v>
      </c>
      <c r="D293" s="32">
        <f>IFERROR(__xludf.DUMMYFUNCTION("FILTER(TATAELXSI.NS!H:H,TATAELXSI.NS!A:A=A293)"),0.009267291411381358)</f>
        <v>0.009267291411</v>
      </c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1">
        <f>IFERROR(__xludf.DUMMYFUNCTION("""COMPUTED_VALUE"""),44771.0)</f>
        <v>44771</v>
      </c>
      <c r="B294" s="32">
        <f>IFERROR(__xludf.DUMMYFUNCTION("FILTER(INFY.NS!H:H,INFY.NS!A:A=A294)"),0.021286362520843104)</f>
        <v>0.02128636252</v>
      </c>
      <c r="C294" s="32">
        <f>IFERROR(__xludf.DUMMYFUNCTION("FILTER(IRCTC.NS!H:H,IRCTC.NS!A:A=A294)"),0.05742734605809124)</f>
        <v>0.05742734606</v>
      </c>
      <c r="D294" s="32">
        <f>IFERROR(__xludf.DUMMYFUNCTION("FILTER(TATAELXSI.NS!H:H,TATAELXSI.NS!A:A=A294)"),0.015192734228972028)</f>
        <v>0.01519273423</v>
      </c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1">
        <f>IFERROR(__xludf.DUMMYFUNCTION("""COMPUTED_VALUE"""),44774.0)</f>
        <v>44774</v>
      </c>
      <c r="B295" s="32">
        <f>IFERROR(__xludf.DUMMYFUNCTION("FILTER(INFY.NS!H:H,INFY.NS!A:A=A295)"),8.71199614563251E-4)</f>
        <v>0.0008711996146</v>
      </c>
      <c r="C295" s="32">
        <f>IFERROR(__xludf.DUMMYFUNCTION("FILTER(IRCTC.NS!H:H,IRCTC.NS!A:A=A295)"),0.0075342146928601686)</f>
        <v>0.007534214693</v>
      </c>
      <c r="D295" s="32">
        <f>IFERROR(__xludf.DUMMYFUNCTION("FILTER(TATAELXSI.NS!H:H,TATAELXSI.NS!A:A=A295)"),0.003515492394810299)</f>
        <v>0.003515492395</v>
      </c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1">
        <f>IFERROR(__xludf.DUMMYFUNCTION("""COMPUTED_VALUE"""),44775.0)</f>
        <v>44775</v>
      </c>
      <c r="B296" s="32">
        <f>IFERROR(__xludf.DUMMYFUNCTION("FILTER(INFY.NS!H:H,INFY.NS!A:A=A296)"),-0.0048032447468753315)</f>
        <v>-0.004803244747</v>
      </c>
      <c r="C296" s="32">
        <f>IFERROR(__xludf.DUMMYFUNCTION("FILTER(IRCTC.NS!H:H,IRCTC.NS!A:A=A296)"),0.009425125056546165)</f>
        <v>0.009425125057</v>
      </c>
      <c r="D296" s="32">
        <f>IFERROR(__xludf.DUMMYFUNCTION("FILTER(TATAELXSI.NS!H:H,TATAELXSI.NS!A:A=A296)"),-0.009041764618871493)</f>
        <v>-0.009041764619</v>
      </c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1">
        <f>IFERROR(__xludf.DUMMYFUNCTION("""COMPUTED_VALUE"""),44776.0)</f>
        <v>44776</v>
      </c>
      <c r="B297" s="32">
        <f>IFERROR(__xludf.DUMMYFUNCTION("FILTER(INFY.NS!H:H,INFY.NS!A:A=A297)"),0.014576315334174377)</f>
        <v>0.01457631533</v>
      </c>
      <c r="C297" s="32">
        <f>IFERROR(__xludf.DUMMYFUNCTION("FILTER(IRCTC.NS!H:H,IRCTC.NS!A:A=A297)"),-0.008951289285569123)</f>
        <v>-0.008951289286</v>
      </c>
      <c r="D297" s="32">
        <f>IFERROR(__xludf.DUMMYFUNCTION("FILTER(TATAELXSI.NS!H:H,TATAELXSI.NS!A:A=A297)"),0.022975647872248164)</f>
        <v>0.02297564787</v>
      </c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1">
        <f>IFERROR(__xludf.DUMMYFUNCTION("""COMPUTED_VALUE"""),44777.0)</f>
        <v>44777</v>
      </c>
      <c r="B298" s="32">
        <f>IFERROR(__xludf.DUMMYFUNCTION("FILTER(INFY.NS!H:H,INFY.NS!A:A=A298)"),0.021582305419816993)</f>
        <v>0.02158230542</v>
      </c>
      <c r="C298" s="32">
        <f>IFERROR(__xludf.DUMMYFUNCTION("FILTER(IRCTC.NS!H:H,IRCTC.NS!A:A=A298)"),-0.00490543312663651)</f>
        <v>-0.004905433127</v>
      </c>
      <c r="D298" s="32">
        <f>IFERROR(__xludf.DUMMYFUNCTION("FILTER(TATAELXSI.NS!H:H,TATAELXSI.NS!A:A=A298)"),0.013167018378060412)</f>
        <v>0.01316701838</v>
      </c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1">
        <f>IFERROR(__xludf.DUMMYFUNCTION("""COMPUTED_VALUE"""),44778.0)</f>
        <v>44778</v>
      </c>
      <c r="B299" s="32">
        <f>IFERROR(__xludf.DUMMYFUNCTION("FILTER(INFY.NS!H:H,INFY.NS!A:A=A299)"),0.010469404180720232)</f>
        <v>0.01046940418</v>
      </c>
      <c r="C299" s="32">
        <f>IFERROR(__xludf.DUMMYFUNCTION("FILTER(IRCTC.NS!H:H,IRCTC.NS!A:A=A299)"),0.0052425289514866505)</f>
        <v>0.005242528951</v>
      </c>
      <c r="D299" s="32">
        <f>IFERROR(__xludf.DUMMYFUNCTION("FILTER(TATAELXSI.NS!H:H,TATAELXSI.NS!A:A=A299)"),0.03928895757797567)</f>
        <v>0.03928895758</v>
      </c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1">
        <f>IFERROR(__xludf.DUMMYFUNCTION("""COMPUTED_VALUE"""),44781.0)</f>
        <v>44781</v>
      </c>
      <c r="B300" s="32">
        <f>IFERROR(__xludf.DUMMYFUNCTION("FILTER(INFY.NS!H:H,INFY.NS!A:A=A300)"),0.0017010484391642208)</f>
        <v>0.001701048439</v>
      </c>
      <c r="C300" s="32">
        <f>IFERROR(__xludf.DUMMYFUNCTION("FILTER(IRCTC.NS!H:H,IRCTC.NS!A:A=A300)"),0.02514209481343552)</f>
        <v>0.02514209481</v>
      </c>
      <c r="D300" s="32">
        <f>IFERROR(__xludf.DUMMYFUNCTION("FILTER(TATAELXSI.NS!H:H,TATAELXSI.NS!A:A=A300)"),0.026491695459924323)</f>
        <v>0.02649169546</v>
      </c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1">
        <f>IFERROR(__xludf.DUMMYFUNCTION("""COMPUTED_VALUE"""),44783.0)</f>
        <v>44783</v>
      </c>
      <c r="B301" s="32">
        <f>IFERROR(__xludf.DUMMYFUNCTION("FILTER(INFY.NS!H:H,INFY.NS!A:A=A301)"),-0.010466884493512874)</f>
        <v>-0.01046688449</v>
      </c>
      <c r="C301" s="32">
        <f>IFERROR(__xludf.DUMMYFUNCTION("FILTER(IRCTC.NS!H:H,IRCTC.NS!A:A=A301)"),0.02224756871678061)</f>
        <v>0.02224756872</v>
      </c>
      <c r="D301" s="32">
        <f>IFERROR(__xludf.DUMMYFUNCTION("FILTER(TATAELXSI.NS!H:H,TATAELXSI.NS!A:A=A301)"),-0.009806199042175008)</f>
        <v>-0.009806199042</v>
      </c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1">
        <f>IFERROR(__xludf.DUMMYFUNCTION("""COMPUTED_VALUE"""),44784.0)</f>
        <v>44784</v>
      </c>
      <c r="B302" s="32">
        <f>IFERROR(__xludf.DUMMYFUNCTION("FILTER(INFY.NS!H:H,INFY.NS!A:A=A302)"),0.010920777893299708)</f>
        <v>0.01092077789</v>
      </c>
      <c r="C302" s="32">
        <f>IFERROR(__xludf.DUMMYFUNCTION("FILTER(IRCTC.NS!H:H,IRCTC.NS!A:A=A302)"),-0.0045310077861633715)</f>
        <v>-0.004531007786</v>
      </c>
      <c r="D302" s="32">
        <f>IFERROR(__xludf.DUMMYFUNCTION("FILTER(TATAELXSI.NS!H:H,TATAELXSI.NS!A:A=A302)"),0.003926480050731831)</f>
        <v>0.003926480051</v>
      </c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1">
        <f>IFERROR(__xludf.DUMMYFUNCTION("""COMPUTED_VALUE"""),44785.0)</f>
        <v>44785</v>
      </c>
      <c r="B303" s="32">
        <f>IFERROR(__xludf.DUMMYFUNCTION("FILTER(INFY.NS!H:H,INFY.NS!A:A=A303)"),-0.01595726768227797)</f>
        <v>-0.01595726768</v>
      </c>
      <c r="C303" s="32">
        <f>IFERROR(__xludf.DUMMYFUNCTION("FILTER(IRCTC.NS!H:H,IRCTC.NS!A:A=A303)"),-0.005446894688442661)</f>
        <v>-0.005446894688</v>
      </c>
      <c r="D303" s="32">
        <f>IFERROR(__xludf.DUMMYFUNCTION("FILTER(TATAELXSI.NS!H:H,TATAELXSI.NS!A:A=A303)"),0.07784257589905452)</f>
        <v>0.0778425759</v>
      </c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1">
        <f>IFERROR(__xludf.DUMMYFUNCTION("""COMPUTED_VALUE"""),44789.0)</f>
        <v>44789</v>
      </c>
      <c r="B304" s="32">
        <f>IFERROR(__xludf.DUMMYFUNCTION("FILTER(INFY.NS!H:H,INFY.NS!A:A=A304)"),0.001474170400464322)</f>
        <v>0.0014741704</v>
      </c>
      <c r="C304" s="32">
        <f>IFERROR(__xludf.DUMMYFUNCTION("FILTER(IRCTC.NS!H:H,IRCTC.NS!A:A=A304)"),0.002550846979353067)</f>
        <v>0.002550846979</v>
      </c>
      <c r="D304" s="32">
        <f>IFERROR(__xludf.DUMMYFUNCTION("FILTER(TATAELXSI.NS!H:H,TATAELXSI.NS!A:A=A304)"),0.03331198914791763)</f>
        <v>0.03331198915</v>
      </c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1">
        <f>IFERROR(__xludf.DUMMYFUNCTION("""COMPUTED_VALUE"""),44790.0)</f>
        <v>44790</v>
      </c>
      <c r="B305" s="32">
        <f>IFERROR(__xludf.DUMMYFUNCTION("FILTER(INFY.NS!H:H,INFY.NS!A:A=A305)"),0.006138650944779881)</f>
        <v>0.006138650945</v>
      </c>
      <c r="C305" s="32">
        <f>IFERROR(__xludf.DUMMYFUNCTION("FILTER(IRCTC.NS!H:H,IRCTC.NS!A:A=A305)"),0.005238344494918405)</f>
        <v>0.005238344495</v>
      </c>
      <c r="D305" s="32">
        <f>IFERROR(__xludf.DUMMYFUNCTION("FILTER(TATAELXSI.NS!H:H,TATAELXSI.NS!A:A=A305)"),0.010000925022956594)</f>
        <v>0.01000092502</v>
      </c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1">
        <f>IFERROR(__xludf.DUMMYFUNCTION("""COMPUTED_VALUE"""),44791.0)</f>
        <v>44791</v>
      </c>
      <c r="B306" s="32">
        <f>IFERROR(__xludf.DUMMYFUNCTION("FILTER(INFY.NS!H:H,INFY.NS!A:A=A306)"),-0.014505867081712028)</f>
        <v>-0.01450586708</v>
      </c>
      <c r="C306" s="32">
        <f>IFERROR(__xludf.DUMMYFUNCTION("FILTER(IRCTC.NS!H:H,IRCTC.NS!A:A=A306)"),0.06327700213109796)</f>
        <v>0.06327700213</v>
      </c>
      <c r="D306" s="32">
        <f>IFERROR(__xludf.DUMMYFUNCTION("FILTER(TATAELXSI.NS!H:H,TATAELXSI.NS!A:A=A306)"),-0.006621493641587286)</f>
        <v>-0.006621493642</v>
      </c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1">
        <f>IFERROR(__xludf.DUMMYFUNCTION("""COMPUTED_VALUE"""),44792.0)</f>
        <v>44792</v>
      </c>
      <c r="B307" s="32">
        <f>IFERROR(__xludf.DUMMYFUNCTION("FILTER(INFY.NS!H:H,INFY.NS!A:A=A307)"),0.008939022355735815)</f>
        <v>0.008939022356</v>
      </c>
      <c r="C307" s="32">
        <f>IFERROR(__xludf.DUMMYFUNCTION("FILTER(IRCTC.NS!H:H,IRCTC.NS!A:A=A307)"),0.02940558607332624)</f>
        <v>0.02940558607</v>
      </c>
      <c r="D307" s="32">
        <f>IFERROR(__xludf.DUMMYFUNCTION("FILTER(TATAELXSI.NS!H:H,TATAELXSI.NS!A:A=A307)"),-0.044789302345207296)</f>
        <v>-0.04478930235</v>
      </c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1">
        <f>IFERROR(__xludf.DUMMYFUNCTION("""COMPUTED_VALUE"""),44795.0)</f>
        <v>44795</v>
      </c>
      <c r="B308" s="32">
        <f>IFERROR(__xludf.DUMMYFUNCTION("FILTER(INFY.NS!H:H,INFY.NS!A:A=A308)"),-0.013430563097071852)</f>
        <v>-0.0134305631</v>
      </c>
      <c r="C308" s="32">
        <f>IFERROR(__xludf.DUMMYFUNCTION("FILTER(IRCTC.NS!H:H,IRCTC.NS!A:A=A308)"),-0.03081007040815934)</f>
        <v>-0.03081007041</v>
      </c>
      <c r="D308" s="32">
        <f>IFERROR(__xludf.DUMMYFUNCTION("FILTER(TATAELXSI.NS!H:H,TATAELXSI.NS!A:A=A308)"),-0.034525933177166866)</f>
        <v>-0.03452593318</v>
      </c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1">
        <f>IFERROR(__xludf.DUMMYFUNCTION("""COMPUTED_VALUE"""),44796.0)</f>
        <v>44796</v>
      </c>
      <c r="B309" s="32">
        <f>IFERROR(__xludf.DUMMYFUNCTION("FILTER(INFY.NS!H:H,INFY.NS!A:A=A309)"),-0.021102401861798212)</f>
        <v>-0.02110240186</v>
      </c>
      <c r="C309" s="32">
        <f>IFERROR(__xludf.DUMMYFUNCTION("FILTER(IRCTC.NS!H:H,IRCTC.NS!A:A=A309)"),0.0034386133333333545)</f>
        <v>0.003438613333</v>
      </c>
      <c r="D309" s="32">
        <f>IFERROR(__xludf.DUMMYFUNCTION("FILTER(TATAELXSI.NS!H:H,TATAELXSI.NS!A:A=A309)"),-0.017361875592717492)</f>
        <v>-0.01736187559</v>
      </c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1">
        <f>IFERROR(__xludf.DUMMYFUNCTION("""COMPUTED_VALUE"""),44797.0)</f>
        <v>44797</v>
      </c>
      <c r="B310" s="32">
        <f>IFERROR(__xludf.DUMMYFUNCTION("FILTER(INFY.NS!H:H,INFY.NS!A:A=A310)"),-0.0031768827306501847)</f>
        <v>-0.003176882731</v>
      </c>
      <c r="C310" s="32">
        <f>IFERROR(__xludf.DUMMYFUNCTION("FILTER(IRCTC.NS!H:H,IRCTC.NS!A:A=A310)"),0.013077803822737707)</f>
        <v>0.01307780382</v>
      </c>
      <c r="D310" s="32">
        <f>IFERROR(__xludf.DUMMYFUNCTION("FILTER(TATAELXSI.NS!H:H,TATAELXSI.NS!A:A=A310)"),0.025185185185185185)</f>
        <v>0.02518518519</v>
      </c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1">
        <f>IFERROR(__xludf.DUMMYFUNCTION("""COMPUTED_VALUE"""),44798.0)</f>
        <v>44798</v>
      </c>
      <c r="B311" s="32">
        <f>IFERROR(__xludf.DUMMYFUNCTION("FILTER(INFY.NS!H:H,INFY.NS!A:A=A311)"),-0.01258535024390242)</f>
        <v>-0.01258535024</v>
      </c>
      <c r="C311" s="32">
        <f>IFERROR(__xludf.DUMMYFUNCTION("FILTER(IRCTC.NS!H:H,IRCTC.NS!A:A=A311)"),-0.010078680271909635)</f>
        <v>-0.01007868027</v>
      </c>
      <c r="D311" s="32">
        <f>IFERROR(__xludf.DUMMYFUNCTION("FILTER(TATAELXSI.NS!H:H,TATAELXSI.NS!A:A=A311)"),-0.02072816053138619)</f>
        <v>-0.02072816053</v>
      </c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1">
        <f>IFERROR(__xludf.DUMMYFUNCTION("""COMPUTED_VALUE"""),44799.0)</f>
        <v>44799</v>
      </c>
      <c r="B312" s="32">
        <f>IFERROR(__xludf.DUMMYFUNCTION("FILTER(INFY.NS!H:H,INFY.NS!A:A=A312)"),0.0022395843271415146)</f>
        <v>0.002239584327</v>
      </c>
      <c r="C312" s="32">
        <f>IFERROR(__xludf.DUMMYFUNCTION("FILTER(IRCTC.NS!H:H,IRCTC.NS!A:A=A312)"),0.0023012887029289124)</f>
        <v>0.002301288703</v>
      </c>
      <c r="D312" s="32">
        <f>IFERROR(__xludf.DUMMYFUNCTION("FILTER(TATAELXSI.NS!H:H,TATAELXSI.NS!A:A=A312)"),-0.03185382240693881)</f>
        <v>-0.03185382241</v>
      </c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1">
        <f>IFERROR(__xludf.DUMMYFUNCTION("""COMPUTED_VALUE"""),44802.0)</f>
        <v>44802</v>
      </c>
      <c r="B313" s="32">
        <f>IFERROR(__xludf.DUMMYFUNCTION("FILTER(INFY.NS!H:H,INFY.NS!A:A=A313)"),-0.03930205847602713)</f>
        <v>-0.03930205848</v>
      </c>
      <c r="C313" s="32">
        <f>IFERROR(__xludf.DUMMYFUNCTION("FILTER(IRCTC.NS!H:H,IRCTC.NS!A:A=A313)"),-0.03736176873765754)</f>
        <v>-0.03736176874</v>
      </c>
      <c r="D313" s="32">
        <f>IFERROR(__xludf.DUMMYFUNCTION("FILTER(TATAELXSI.NS!H:H,TATAELXSI.NS!A:A=A313)"),-0.0511445492566049)</f>
        <v>-0.05114454926</v>
      </c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1">
        <f>IFERROR(__xludf.DUMMYFUNCTION("""COMPUTED_VALUE"""),44803.0)</f>
        <v>44803</v>
      </c>
      <c r="B314" s="32">
        <f>IFERROR(__xludf.DUMMYFUNCTION("FILTER(INFY.NS!H:H,INFY.NS!A:A=A314)"),0.02134424559603219)</f>
        <v>0.0213442456</v>
      </c>
      <c r="C314" s="32">
        <f>IFERROR(__xludf.DUMMYFUNCTION("FILTER(IRCTC.NS!H:H,IRCTC.NS!A:A=A314)"),0.027392327737363324)</f>
        <v>0.02739232774</v>
      </c>
      <c r="D314" s="32">
        <f>IFERROR(__xludf.DUMMYFUNCTION("FILTER(TATAELXSI.NS!H:H,TATAELXSI.NS!A:A=A314)"),0.016728994125820625)</f>
        <v>0.01672899413</v>
      </c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1">
        <f>IFERROR(__xludf.DUMMYFUNCTION("""COMPUTED_VALUE"""),44805.0)</f>
        <v>44805</v>
      </c>
      <c r="B315" s="32">
        <f>IFERROR(__xludf.DUMMYFUNCTION("FILTER(INFY.NS!H:H,INFY.NS!A:A=A315)"),-0.019257176023042718)</f>
        <v>-0.01925717602</v>
      </c>
      <c r="C315" s="32">
        <f>IFERROR(__xludf.DUMMYFUNCTION("FILTER(IRCTC.NS!H:H,IRCTC.NS!A:A=A315)"),-0.005205785437917714)</f>
        <v>-0.005205785438</v>
      </c>
      <c r="D315" s="32">
        <f>IFERROR(__xludf.DUMMYFUNCTION("FILTER(TATAELXSI.NS!H:H,TATAELXSI.NS!A:A=A315)"),1.1639604179954659E-4)</f>
        <v>0.0001163960418</v>
      </c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1">
        <f>IFERROR(__xludf.DUMMYFUNCTION("""COMPUTED_VALUE"""),44806.0)</f>
        <v>44806</v>
      </c>
      <c r="B316" s="32">
        <f>IFERROR(__xludf.DUMMYFUNCTION("FILTER(INFY.NS!H:H,INFY.NS!A:A=A316)"),-0.0076491950381167954)</f>
        <v>-0.007649195038</v>
      </c>
      <c r="C316" s="32">
        <f>IFERROR(__xludf.DUMMYFUNCTION("FILTER(IRCTC.NS!H:H,IRCTC.NS!A:A=A316)"),0.007920282999849291)</f>
        <v>0.007920283</v>
      </c>
      <c r="D316" s="32">
        <f>IFERROR(__xludf.DUMMYFUNCTION("FILTER(TATAELXSI.NS!H:H,TATAELXSI.NS!A:A=A316)"),-0.03470503328797069)</f>
        <v>-0.03470503329</v>
      </c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1">
        <f>IFERROR(__xludf.DUMMYFUNCTION("""COMPUTED_VALUE"""),44809.0)</f>
        <v>44809</v>
      </c>
      <c r="B317" s="32">
        <f>IFERROR(__xludf.DUMMYFUNCTION("FILTER(INFY.NS!H:H,INFY.NS!A:A=A317)"),0.005712353062629005)</f>
        <v>0.005712353063</v>
      </c>
      <c r="C317" s="32">
        <f>IFERROR(__xludf.DUMMYFUNCTION("FILTER(IRCTC.NS!H:H,IRCTC.NS!A:A=A317)"),-0.0024556232948362323)</f>
        <v>-0.002455623295</v>
      </c>
      <c r="D317" s="32">
        <f>IFERROR(__xludf.DUMMYFUNCTION("FILTER(TATAELXSI.NS!H:H,TATAELXSI.NS!A:A=A317)"),0.019018588991932102)</f>
        <v>0.01901858899</v>
      </c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1">
        <f>IFERROR(__xludf.DUMMYFUNCTION("""COMPUTED_VALUE"""),44810.0)</f>
        <v>44810</v>
      </c>
      <c r="B318" s="32">
        <f>IFERROR(__xludf.DUMMYFUNCTION("FILTER(INFY.NS!H:H,INFY.NS!A:A=A318)"),-0.0042428473223160585)</f>
        <v>-0.004242847322</v>
      </c>
      <c r="C318" s="32">
        <f>IFERROR(__xludf.DUMMYFUNCTION("FILTER(IRCTC.NS!H:H,IRCTC.NS!A:A=A318)"),-0.0036573862881175614)</f>
        <v>-0.003657386288</v>
      </c>
      <c r="D318" s="32">
        <f>IFERROR(__xludf.DUMMYFUNCTION("FILTER(TATAELXSI.NS!H:H,TATAELXSI.NS!A:A=A318)"),-0.002975302767807945)</f>
        <v>-0.002975302768</v>
      </c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1">
        <f>IFERROR(__xludf.DUMMYFUNCTION("""COMPUTED_VALUE"""),44811.0)</f>
        <v>44811</v>
      </c>
      <c r="B319" s="32">
        <f>IFERROR(__xludf.DUMMYFUNCTION("FILTER(INFY.NS!H:H,INFY.NS!A:A=A319)"),0.0017524898921447449)</f>
        <v>0.001752489892</v>
      </c>
      <c r="C319" s="32">
        <f>IFERROR(__xludf.DUMMYFUNCTION("FILTER(IRCTC.NS!H:H,IRCTC.NS!A:A=A319)"),-0.002611853778543294)</f>
        <v>-0.002611853779</v>
      </c>
      <c r="D319" s="32">
        <f>IFERROR(__xludf.DUMMYFUNCTION("FILTER(TATAELXSI.NS!H:H,TATAELXSI.NS!A:A=A319)"),-0.0037585697389437463)</f>
        <v>-0.003758569739</v>
      </c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1">
        <f>IFERROR(__xludf.DUMMYFUNCTION("""COMPUTED_VALUE"""),44812.0)</f>
        <v>44812</v>
      </c>
      <c r="B320" s="32">
        <f>IFERROR(__xludf.DUMMYFUNCTION("FILTER(INFY.NS!H:H,INFY.NS!A:A=A320)"),0.012520152093792302)</f>
        <v>0.01252015209</v>
      </c>
      <c r="C320" s="32">
        <f>IFERROR(__xludf.DUMMYFUNCTION("FILTER(IRCTC.NS!H:H,IRCTC.NS!A:A=A320)"),0.011819627515272758)</f>
        <v>0.01181962752</v>
      </c>
      <c r="D320" s="32">
        <f>IFERROR(__xludf.DUMMYFUNCTION("FILTER(TATAELXSI.NS!H:H,TATAELXSI.NS!A:A=A320)"),-0.005310194136580625)</f>
        <v>-0.005310194137</v>
      </c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1">
        <f>IFERROR(__xludf.DUMMYFUNCTION("""COMPUTED_VALUE"""),44813.0)</f>
        <v>44813</v>
      </c>
      <c r="B321" s="32">
        <f>IFERROR(__xludf.DUMMYFUNCTION("FILTER(INFY.NS!H:H,INFY.NS!A:A=A321)"),0.024222507906131722)</f>
        <v>0.02422250791</v>
      </c>
      <c r="C321" s="32">
        <f>IFERROR(__xludf.DUMMYFUNCTION("FILTER(IRCTC.NS!H:H,IRCTC.NS!A:A=A321)"),-0.00419697824617199)</f>
        <v>-0.004196978246</v>
      </c>
      <c r="D321" s="32">
        <f>IFERROR(__xludf.DUMMYFUNCTION("FILTER(TATAELXSI.NS!H:H,TATAELXSI.NS!A:A=A321)"),0.005749157208441422)</f>
        <v>0.005749157208</v>
      </c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1">
        <f>IFERROR(__xludf.DUMMYFUNCTION("""COMPUTED_VALUE"""),44816.0)</f>
        <v>44816</v>
      </c>
      <c r="B322" s="32">
        <f>IFERROR(__xludf.DUMMYFUNCTION("FILTER(INFY.NS!H:H,INFY.NS!A:A=A322)"),0.016240483319702594)</f>
        <v>0.01624048332</v>
      </c>
      <c r="C322" s="32">
        <f>IFERROR(__xludf.DUMMYFUNCTION("FILTER(IRCTC.NS!H:H,IRCTC.NS!A:A=A322)"),0.013346445855798469)</f>
        <v>0.01334644586</v>
      </c>
      <c r="D322" s="32">
        <f>IFERROR(__xludf.DUMMYFUNCTION("FILTER(TATAELXSI.NS!H:H,TATAELXSI.NS!A:A=A322)"),0.0077806673075524885)</f>
        <v>0.007780667308</v>
      </c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1">
        <f>IFERROR(__xludf.DUMMYFUNCTION("""COMPUTED_VALUE"""),44817.0)</f>
        <v>44817</v>
      </c>
      <c r="B323" s="32">
        <f>IFERROR(__xludf.DUMMYFUNCTION("FILTER(INFY.NS!H:H,INFY.NS!A:A=A323)"),0.00569587311489245)</f>
        <v>0.005695873115</v>
      </c>
      <c r="C323" s="32">
        <f>IFERROR(__xludf.DUMMYFUNCTION("FILTER(IRCTC.NS!H:H,IRCTC.NS!A:A=A323)"),-0.0018715874427547748)</f>
        <v>-0.001871587443</v>
      </c>
      <c r="D323" s="32">
        <f>IFERROR(__xludf.DUMMYFUNCTION("FILTER(TATAELXSI.NS!H:H,TATAELXSI.NS!A:A=A323)"),0.02293647950928903)</f>
        <v>0.02293647951</v>
      </c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1">
        <f>IFERROR(__xludf.DUMMYFUNCTION("""COMPUTED_VALUE"""),44818.0)</f>
        <v>44818</v>
      </c>
      <c r="B324" s="32">
        <f>IFERROR(__xludf.DUMMYFUNCTION("FILTER(INFY.NS!H:H,INFY.NS!A:A=A324)"),-0.04501759228833428)</f>
        <v>-0.04501759229</v>
      </c>
      <c r="C324" s="32">
        <f>IFERROR(__xludf.DUMMYFUNCTION("FILTER(IRCTC.NS!H:H,IRCTC.NS!A:A=A324)"),-0.009861845797149658)</f>
        <v>-0.009861845797</v>
      </c>
      <c r="D324" s="32">
        <f>IFERROR(__xludf.DUMMYFUNCTION("FILTER(TATAELXSI.NS!H:H,TATAELXSI.NS!A:A=A324)"),-0.019198608926668054)</f>
        <v>-0.01919860893</v>
      </c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1">
        <f>IFERROR(__xludf.DUMMYFUNCTION("""COMPUTED_VALUE"""),44819.0)</f>
        <v>44819</v>
      </c>
      <c r="B325" s="32">
        <f>IFERROR(__xludf.DUMMYFUNCTION("FILTER(INFY.NS!H:H,INFY.NS!A:A=A325)"),-0.02887350840926927)</f>
        <v>-0.02887350841</v>
      </c>
      <c r="C325" s="32">
        <f>IFERROR(__xludf.DUMMYFUNCTION("FILTER(IRCTC.NS!H:H,IRCTC.NS!A:A=A325)"),0.01613242671975625)</f>
        <v>0.01613242672</v>
      </c>
      <c r="D325" s="32">
        <f>IFERROR(__xludf.DUMMYFUNCTION("FILTER(TATAELXSI.NS!H:H,TATAELXSI.NS!A:A=A325)"),-0.003303554169608218)</f>
        <v>-0.00330355417</v>
      </c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1">
        <f>IFERROR(__xludf.DUMMYFUNCTION("""COMPUTED_VALUE"""),44820.0)</f>
        <v>44820</v>
      </c>
      <c r="B326" s="32">
        <f>IFERROR(__xludf.DUMMYFUNCTION("FILTER(INFY.NS!H:H,INFY.NS!A:A=A326)"),-0.038909825581671234)</f>
        <v>-0.03890982558</v>
      </c>
      <c r="C326" s="32">
        <f>IFERROR(__xludf.DUMMYFUNCTION("FILTER(IRCTC.NS!H:H,IRCTC.NS!A:A=A326)"),-0.029474669299913072)</f>
        <v>-0.0294746693</v>
      </c>
      <c r="D326" s="32">
        <f>IFERROR(__xludf.DUMMYFUNCTION("FILTER(TATAELXSI.NS!H:H,TATAELXSI.NS!A:A=A326)"),-0.01743903604287999)</f>
        <v>-0.01743903604</v>
      </c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1">
        <f>IFERROR(__xludf.DUMMYFUNCTION("""COMPUTED_VALUE"""),44823.0)</f>
        <v>44823</v>
      </c>
      <c r="B327" s="32">
        <f>IFERROR(__xludf.DUMMYFUNCTION("FILTER(INFY.NS!H:H,INFY.NS!A:A=A327)"),0.009622017739748833)</f>
        <v>0.00962201774</v>
      </c>
      <c r="C327" s="32">
        <f>IFERROR(__xludf.DUMMYFUNCTION("FILTER(IRCTC.NS!H:H,IRCTC.NS!A:A=A327)"),-0.015647226173541962)</f>
        <v>-0.01564722617</v>
      </c>
      <c r="D327" s="32">
        <f>IFERROR(__xludf.DUMMYFUNCTION("FILTER(TATAELXSI.NS!H:H,TATAELXSI.NS!A:A=A327)"),-0.0038829610388163914)</f>
        <v>-0.003882961039</v>
      </c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1">
        <f>IFERROR(__xludf.DUMMYFUNCTION("""COMPUTED_VALUE"""),44824.0)</f>
        <v>44824</v>
      </c>
      <c r="B328" s="32">
        <f>IFERROR(__xludf.DUMMYFUNCTION("FILTER(INFY.NS!H:H,INFY.NS!A:A=A328)"),-0.0012587210949598405)</f>
        <v>-0.001258721095</v>
      </c>
      <c r="C328" s="32">
        <f>IFERROR(__xludf.DUMMYFUNCTION("FILTER(IRCTC.NS!H:H,IRCTC.NS!A:A=A328)"),0.020448011560693685)</f>
        <v>0.02044801156</v>
      </c>
      <c r="D328" s="32">
        <f>IFERROR(__xludf.DUMMYFUNCTION("FILTER(TATAELXSI.NS!H:H,TATAELXSI.NS!A:A=A328)"),0.02359015279612847)</f>
        <v>0.0235901528</v>
      </c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1">
        <f>IFERROR(__xludf.DUMMYFUNCTION("""COMPUTED_VALUE"""),44825.0)</f>
        <v>44825</v>
      </c>
      <c r="B329" s="32">
        <f>IFERROR(__xludf.DUMMYFUNCTION("FILTER(INFY.NS!H:H,INFY.NS!A:A=A329)"),-0.008138020669934055)</f>
        <v>-0.00813802067</v>
      </c>
      <c r="C329" s="32">
        <f>IFERROR(__xludf.DUMMYFUNCTION("FILTER(IRCTC.NS!H:H,IRCTC.NS!A:A=A329)"),-0.008213620056465594)</f>
        <v>-0.008213620056</v>
      </c>
      <c r="D329" s="32">
        <f>IFERROR(__xludf.DUMMYFUNCTION("FILTER(TATAELXSI.NS!H:H,TATAELXSI.NS!A:A=A329)"),-0.009442154101389152)</f>
        <v>-0.009442154101</v>
      </c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1">
        <f>IFERROR(__xludf.DUMMYFUNCTION("""COMPUTED_VALUE"""),44826.0)</f>
        <v>44826</v>
      </c>
      <c r="B330" s="32">
        <f>IFERROR(__xludf.DUMMYFUNCTION("FILTER(INFY.NS!H:H,INFY.NS!A:A=A330)"),-0.006752622254492608)</f>
        <v>-0.006752622254</v>
      </c>
      <c r="C330" s="32">
        <f>IFERROR(__xludf.DUMMYFUNCTION("FILTER(IRCTC.NS!H:H,IRCTC.NS!A:A=A330)"),7.853901889761194E-4)</f>
        <v>0.000785390189</v>
      </c>
      <c r="D330" s="32">
        <f>IFERROR(__xludf.DUMMYFUNCTION("FILTER(TATAELXSI.NS!H:H,TATAELXSI.NS!A:A=A330)"),0.019637129685284856)</f>
        <v>0.01963712969</v>
      </c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1">
        <f>IFERROR(__xludf.DUMMYFUNCTION("""COMPUTED_VALUE"""),44827.0)</f>
        <v>44827</v>
      </c>
      <c r="B331" s="32">
        <f>IFERROR(__xludf.DUMMYFUNCTION("FILTER(INFY.NS!H:H,INFY.NS!A:A=A331)"),-0.001827552242077605)</f>
        <v>-0.001827552242</v>
      </c>
      <c r="C331" s="32">
        <f>IFERROR(__xludf.DUMMYFUNCTION("FILTER(IRCTC.NS!H:H,IRCTC.NS!A:A=A331)"),-0.021543780115493398)</f>
        <v>-0.02154378012</v>
      </c>
      <c r="D331" s="32">
        <f>IFERROR(__xludf.DUMMYFUNCTION("FILTER(TATAELXSI.NS!H:H,TATAELXSI.NS!A:A=A331)"),-0.014854407211038716)</f>
        <v>-0.01485440721</v>
      </c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1">
        <f>IFERROR(__xludf.DUMMYFUNCTION("""COMPUTED_VALUE"""),44830.0)</f>
        <v>44830</v>
      </c>
      <c r="B332" s="32">
        <f>IFERROR(__xludf.DUMMYFUNCTION("FILTER(INFY.NS!H:H,INFY.NS!A:A=A332)"),0.010838953847529153)</f>
        <v>0.01083895385</v>
      </c>
      <c r="C332" s="32">
        <f>IFERROR(__xludf.DUMMYFUNCTION("FILTER(IRCTC.NS!H:H,IRCTC.NS!A:A=A332)"),-0.031058600718435688)</f>
        <v>-0.03105860072</v>
      </c>
      <c r="D332" s="32">
        <f>IFERROR(__xludf.DUMMYFUNCTION("FILTER(TATAELXSI.NS!H:H,TATAELXSI.NS!A:A=A332)"),-0.03638886522993378)</f>
        <v>-0.03638886523</v>
      </c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1">
        <f>IFERROR(__xludf.DUMMYFUNCTION("""COMPUTED_VALUE"""),44831.0)</f>
        <v>44831</v>
      </c>
      <c r="B333" s="32">
        <f>IFERROR(__xludf.DUMMYFUNCTION("FILTER(INFY.NS!H:H,INFY.NS!A:A=A333)"),0.00963597101974276)</f>
        <v>0.00963597102</v>
      </c>
      <c r="C333" s="32">
        <f>IFERROR(__xludf.DUMMYFUNCTION("FILTER(IRCTC.NS!H:H,IRCTC.NS!A:A=A333)"),0.01828446049661404)</f>
        <v>0.0182844605</v>
      </c>
      <c r="D333" s="32">
        <f>IFERROR(__xludf.DUMMYFUNCTION("FILTER(TATAELXSI.NS!H:H,TATAELXSI.NS!A:A=A333)"),-0.023240101060577965)</f>
        <v>-0.02324010106</v>
      </c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1">
        <f>IFERROR(__xludf.DUMMYFUNCTION("""COMPUTED_VALUE"""),44832.0)</f>
        <v>44832</v>
      </c>
      <c r="B334" s="32">
        <f>IFERROR(__xludf.DUMMYFUNCTION("FILTER(INFY.NS!H:H,INFY.NS!A:A=A334)"),8.251601733466776E-4)</f>
        <v>0.0008251601733</v>
      </c>
      <c r="C334" s="32">
        <f>IFERROR(__xludf.DUMMYFUNCTION("FILTER(IRCTC.NS!H:H,IRCTC.NS!A:A=A334)"),0.005098576631395995)</f>
        <v>0.005098576631</v>
      </c>
      <c r="D334" s="32">
        <f>IFERROR(__xludf.DUMMYFUNCTION("FILTER(TATAELXSI.NS!H:H,TATAELXSI.NS!A:A=A334)"),0.010316141521673183)</f>
        <v>0.01031614152</v>
      </c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1">
        <f>IFERROR(__xludf.DUMMYFUNCTION("""COMPUTED_VALUE"""),44833.0)</f>
        <v>44833</v>
      </c>
      <c r="B335" s="32">
        <f>IFERROR(__xludf.DUMMYFUNCTION("FILTER(INFY.NS!H:H,INFY.NS!A:A=A335)"),0.0028322027237240323)</f>
        <v>0.002832202724</v>
      </c>
      <c r="C335" s="32">
        <f>IFERROR(__xludf.DUMMYFUNCTION("FILTER(IRCTC.NS!H:H,IRCTC.NS!A:A=A335)"),0.03955304359546108)</f>
        <v>0.0395530436</v>
      </c>
      <c r="D335" s="32">
        <f>IFERROR(__xludf.DUMMYFUNCTION("FILTER(TATAELXSI.NS!H:H,TATAELXSI.NS!A:A=A335)"),7.30121741016878E-4)</f>
        <v>0.000730121741</v>
      </c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1">
        <f>IFERROR(__xludf.DUMMYFUNCTION("""COMPUTED_VALUE"""),44834.0)</f>
        <v>44834</v>
      </c>
      <c r="B336" s="32">
        <f>IFERROR(__xludf.DUMMYFUNCTION("FILTER(INFY.NS!H:H,INFY.NS!A:A=A336)"),0.010581579913518113)</f>
        <v>0.01058157991</v>
      </c>
      <c r="C336" s="32">
        <f>IFERROR(__xludf.DUMMYFUNCTION("FILTER(IRCTC.NS!H:H,IRCTC.NS!A:A=A336)"),-0.0014144271570014145)</f>
        <v>-0.001414427157</v>
      </c>
      <c r="D336" s="32">
        <f>IFERROR(__xludf.DUMMYFUNCTION("FILTER(TATAELXSI.NS!H:H,TATAELXSI.NS!A:A=A336)"),0.015168662877695683)</f>
        <v>0.01516866288</v>
      </c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1">
        <f>IFERROR(__xludf.DUMMYFUNCTION("""COMPUTED_VALUE"""),44837.0)</f>
        <v>44837</v>
      </c>
      <c r="B337" s="32">
        <f>IFERROR(__xludf.DUMMYFUNCTION("FILTER(INFY.NS!H:H,INFY.NS!A:A=A337)"),-0.013937494557952023)</f>
        <v>-0.01393749456</v>
      </c>
      <c r="C337" s="32">
        <f>IFERROR(__xludf.DUMMYFUNCTION("FILTER(IRCTC.NS!H:H,IRCTC.NS!A:A=A337)"),2.124985835694481E-4)</f>
        <v>0.0002124985836</v>
      </c>
      <c r="D337" s="32">
        <f>IFERROR(__xludf.DUMMYFUNCTION("FILTER(TATAELXSI.NS!H:H,TATAELXSI.NS!A:A=A337)"),-0.028510677844248173)</f>
        <v>-0.02851067784</v>
      </c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1">
        <f>IFERROR(__xludf.DUMMYFUNCTION("""COMPUTED_VALUE"""),44838.0)</f>
        <v>44838</v>
      </c>
      <c r="B338" s="32">
        <f>IFERROR(__xludf.DUMMYFUNCTION("FILTER(INFY.NS!H:H,INFY.NS!A:A=A338)"),0.025578492556053833)</f>
        <v>0.02557849256</v>
      </c>
      <c r="C338" s="32">
        <f>IFERROR(__xludf.DUMMYFUNCTION("FILTER(IRCTC.NS!H:H,IRCTC.NS!A:A=A338)"),0.01855126468139859)</f>
        <v>0.01855126468</v>
      </c>
      <c r="D338" s="32">
        <f>IFERROR(__xludf.DUMMYFUNCTION("FILTER(TATAELXSI.NS!H:H,TATAELXSI.NS!A:A=A338)"),0.021269149473684277)</f>
        <v>0.02126914947</v>
      </c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1">
        <f>IFERROR(__xludf.DUMMYFUNCTION("""COMPUTED_VALUE"""),44840.0)</f>
        <v>44840</v>
      </c>
      <c r="B339" s="32">
        <f>IFERROR(__xludf.DUMMYFUNCTION("FILTER(INFY.NS!H:H,INFY.NS!A:A=A339)"),0.018014551257626115)</f>
        <v>0.01801455126</v>
      </c>
      <c r="C339" s="32">
        <f>IFERROR(__xludf.DUMMYFUNCTION("FILTER(IRCTC.NS!H:H,IRCTC.NS!A:A=A339)"),0.016684045881126174)</f>
        <v>0.01668404588</v>
      </c>
      <c r="D339" s="32">
        <f>IFERROR(__xludf.DUMMYFUNCTION("FILTER(TATAELXSI.NS!H:H,TATAELXSI.NS!A:A=A339)"),0.010207012591187298)</f>
        <v>0.01020701259</v>
      </c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1">
        <f>IFERROR(__xludf.DUMMYFUNCTION("""COMPUTED_VALUE"""),44841.0)</f>
        <v>44841</v>
      </c>
      <c r="B340" s="32">
        <f>IFERROR(__xludf.DUMMYFUNCTION("FILTER(INFY.NS!H:H,INFY.NS!A:A=A340)"),-0.0027145469091508427)</f>
        <v>-0.002714546909</v>
      </c>
      <c r="C340" s="32">
        <f>IFERROR(__xludf.DUMMYFUNCTION("FILTER(IRCTC.NS!H:H,IRCTC.NS!A:A=A340)"),0.00547008547008547)</f>
        <v>0.00547008547</v>
      </c>
      <c r="D340" s="32">
        <f>IFERROR(__xludf.DUMMYFUNCTION("FILTER(TATAELXSI.NS!H:H,TATAELXSI.NS!A:A=A340)"),-0.0030201189851941394)</f>
        <v>-0.003020118985</v>
      </c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1">
        <f>IFERROR(__xludf.DUMMYFUNCTION("""COMPUTED_VALUE"""),44844.0)</f>
        <v>44844</v>
      </c>
      <c r="B341" s="32">
        <f>IFERROR(__xludf.DUMMYFUNCTION("FILTER(INFY.NS!H:H,INFY.NS!A:A=A341)"),0.007890072620323547)</f>
        <v>0.00789007262</v>
      </c>
      <c r="C341" s="32">
        <f>IFERROR(__xludf.DUMMYFUNCTION("FILTER(IRCTC.NS!H:H,IRCTC.NS!A:A=A341)"),-0.0055083141788507105)</f>
        <v>-0.005508314179</v>
      </c>
      <c r="D341" s="32">
        <f>IFERROR(__xludf.DUMMYFUNCTION("FILTER(TATAELXSI.NS!H:H,TATAELXSI.NS!A:A=A341)"),0.003994174394168793)</f>
        <v>0.003994174394</v>
      </c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1">
        <f>IFERROR(__xludf.DUMMYFUNCTION("""COMPUTED_VALUE"""),44845.0)</f>
        <v>44845</v>
      </c>
      <c r="B342" s="32">
        <f>IFERROR(__xludf.DUMMYFUNCTION("FILTER(INFY.NS!H:H,INFY.NS!A:A=A342)"),-0.026561360792074266)</f>
        <v>-0.02656136079</v>
      </c>
      <c r="C342" s="32">
        <f>IFERROR(__xludf.DUMMYFUNCTION("FILTER(IRCTC.NS!H:H,IRCTC.NS!A:A=A342)"),-0.007658692434485416)</f>
        <v>-0.007658692434</v>
      </c>
      <c r="D342" s="32">
        <f>IFERROR(__xludf.DUMMYFUNCTION("FILTER(TATAELXSI.NS!H:H,TATAELXSI.NS!A:A=A342)"),-0.008655413703338057)</f>
        <v>-0.008655413703</v>
      </c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1">
        <f>IFERROR(__xludf.DUMMYFUNCTION("""COMPUTED_VALUE"""),44846.0)</f>
        <v>44846</v>
      </c>
      <c r="B343" s="32">
        <f>IFERROR(__xludf.DUMMYFUNCTION("FILTER(INFY.NS!H:H,INFY.NS!A:A=A343)"),0.0034414256436088317)</f>
        <v>0.003441425644</v>
      </c>
      <c r="C343" s="32">
        <f>IFERROR(__xludf.DUMMYFUNCTION("FILTER(IRCTC.NS!H:H,IRCTC.NS!A:A=A343)"),-0.004547943921100661)</f>
        <v>-0.004547943921</v>
      </c>
      <c r="D343" s="32">
        <f>IFERROR(__xludf.DUMMYFUNCTION("FILTER(TATAELXSI.NS!H:H,TATAELXSI.NS!A:A=A343)"),-0.017538395650064903)</f>
        <v>-0.01753839565</v>
      </c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1">
        <f>IFERROR(__xludf.DUMMYFUNCTION("""COMPUTED_VALUE"""),44847.0)</f>
        <v>44847</v>
      </c>
      <c r="B344" s="32">
        <f>IFERROR(__xludf.DUMMYFUNCTION("FILTER(INFY.NS!H:H,INFY.NS!A:A=A344)"),-0.006159394765738341)</f>
        <v>-0.006159394766</v>
      </c>
      <c r="C344" s="32">
        <f>IFERROR(__xludf.DUMMYFUNCTION("FILTER(IRCTC.NS!H:H,IRCTC.NS!A:A=A344)"),0.002492022746648564)</f>
        <v>0.002492022747</v>
      </c>
      <c r="D344" s="32">
        <f>IFERROR(__xludf.DUMMYFUNCTION("FILTER(TATAELXSI.NS!H:H,TATAELXSI.NS!A:A=A344)"),-0.005717352091585436)</f>
        <v>-0.005717352092</v>
      </c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1">
        <f>IFERROR(__xludf.DUMMYFUNCTION("""COMPUTED_VALUE"""),44848.0)</f>
        <v>44848</v>
      </c>
      <c r="B345" s="32">
        <f>IFERROR(__xludf.DUMMYFUNCTION("FILTER(INFY.NS!H:H,INFY.NS!A:A=A345)"),0.03827732592530752)</f>
        <v>0.03827732593</v>
      </c>
      <c r="C345" s="32">
        <f>IFERROR(__xludf.DUMMYFUNCTION("FILTER(IRCTC.NS!H:H,IRCTC.NS!A:A=A345)"),-0.001726280957644998)</f>
        <v>-0.001726280958</v>
      </c>
      <c r="D345" s="32">
        <f>IFERROR(__xludf.DUMMYFUNCTION("FILTER(TATAELXSI.NS!H:H,TATAELXSI.NS!A:A=A345)"),0.01836917581603752)</f>
        <v>0.01836917582</v>
      </c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1">
        <f>IFERROR(__xludf.DUMMYFUNCTION("""COMPUTED_VALUE"""),44851.0)</f>
        <v>44851</v>
      </c>
      <c r="B346" s="32">
        <f>IFERROR(__xludf.DUMMYFUNCTION("FILTER(INFY.NS!H:H,INFY.NS!A:A=A346)"),0.010649449550618997)</f>
        <v>0.01064944955</v>
      </c>
      <c r="C346" s="32">
        <f>IFERROR(__xludf.DUMMYFUNCTION("FILTER(IRCTC.NS!H:H,IRCTC.NS!A:A=A346)"),0.007124609768265428)</f>
        <v>0.007124609768</v>
      </c>
      <c r="D346" s="32">
        <f>IFERROR(__xludf.DUMMYFUNCTION("FILTER(TATAELXSI.NS!H:H,TATAELXSI.NS!A:A=A346)"),-0.08065040259957468)</f>
        <v>-0.0806504026</v>
      </c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1">
        <f>IFERROR(__xludf.DUMMYFUNCTION("""COMPUTED_VALUE"""),44852.0)</f>
        <v>44852</v>
      </c>
      <c r="B347" s="32">
        <f>IFERROR(__xludf.DUMMYFUNCTION("FILTER(INFY.NS!H:H,INFY.NS!A:A=A347)"),0.009228497904088324)</f>
        <v>0.009228497904</v>
      </c>
      <c r="C347" s="32">
        <f>IFERROR(__xludf.DUMMYFUNCTION("FILTER(IRCTC.NS!H:H,IRCTC.NS!A:A=A347)"),0.004326956043956086)</f>
        <v>0.004326956044</v>
      </c>
      <c r="D347" s="32">
        <f>IFERROR(__xludf.DUMMYFUNCTION("FILTER(TATAELXSI.NS!H:H,TATAELXSI.NS!A:A=A347)"),-0.07428559355061036)</f>
        <v>-0.07428559355</v>
      </c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1">
        <f>IFERROR(__xludf.DUMMYFUNCTION("""COMPUTED_VALUE"""),44853.0)</f>
        <v>44853</v>
      </c>
      <c r="B348" s="32">
        <f>IFERROR(__xludf.DUMMYFUNCTION("FILTER(INFY.NS!H:H,INFY.NS!A:A=A348)"),-0.012136729796302294)</f>
        <v>-0.0121367298</v>
      </c>
      <c r="C348" s="32">
        <f>IFERROR(__xludf.DUMMYFUNCTION("FILTER(IRCTC.NS!H:H,IRCTC.NS!A:A=A348)"),0.0159337531526908)</f>
        <v>0.01593375315</v>
      </c>
      <c r="D348" s="32">
        <f>IFERROR(__xludf.DUMMYFUNCTION("FILTER(TATAELXSI.NS!H:H,TATAELXSI.NS!A:A=A348)"),0.015205498461429644)</f>
        <v>0.01520549846</v>
      </c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1">
        <f>IFERROR(__xludf.DUMMYFUNCTION("""COMPUTED_VALUE"""),44854.0)</f>
        <v>44854</v>
      </c>
      <c r="B349" s="32">
        <f>IFERROR(__xludf.DUMMYFUNCTION("FILTER(INFY.NS!H:H,INFY.NS!A:A=A349)"),0.010400938106059405)</f>
        <v>0.01040093811</v>
      </c>
      <c r="C349" s="32">
        <f>IFERROR(__xludf.DUMMYFUNCTION("FILTER(IRCTC.NS!H:H,IRCTC.NS!A:A=A349)"),-2.0189014865729167E-4)</f>
        <v>-0.0002018901487</v>
      </c>
      <c r="D349" s="32">
        <f>IFERROR(__xludf.DUMMYFUNCTION("FILTER(TATAELXSI.NS!H:H,TATAELXSI.NS!A:A=A349)"),0.008278390444028534)</f>
        <v>0.008278390444</v>
      </c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1">
        <f>IFERROR(__xludf.DUMMYFUNCTION("""COMPUTED_VALUE"""),44855.0)</f>
        <v>44855</v>
      </c>
      <c r="B350" s="32">
        <f>IFERROR(__xludf.DUMMYFUNCTION("FILTER(INFY.NS!H:H,INFY.NS!A:A=A350)"),-2.665227487530711E-4)</f>
        <v>-0.0002665227488</v>
      </c>
      <c r="C350" s="32">
        <f>IFERROR(__xludf.DUMMYFUNCTION("FILTER(IRCTC.NS!H:H,IRCTC.NS!A:A=A350)"),0.0012118278743904738)</f>
        <v>0.001211827874</v>
      </c>
      <c r="D350" s="32">
        <f>IFERROR(__xludf.DUMMYFUNCTION("FILTER(TATAELXSI.NS!H:H,TATAELXSI.NS!A:A=A350)"),-0.015383598766059913)</f>
        <v>-0.01538359877</v>
      </c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1">
        <f>IFERROR(__xludf.DUMMYFUNCTION("""COMPUTED_VALUE"""),44858.0)</f>
        <v>44858</v>
      </c>
      <c r="B351" s="32">
        <f>IFERROR(__xludf.DUMMYFUNCTION("FILTER(INFY.NS!H:H,INFY.NS!A:A=A351)"),0.01156279640119958)</f>
        <v>0.0115627964</v>
      </c>
      <c r="C351" s="32">
        <f>IFERROR(__xludf.DUMMYFUNCTION("FILTER(IRCTC.NS!H:H,IRCTC.NS!A:A=A351)"),3.362248726174413E-4)</f>
        <v>0.0003362248726</v>
      </c>
      <c r="D351" s="32">
        <f>IFERROR(__xludf.DUMMYFUNCTION("FILTER(TATAELXSI.NS!H:H,TATAELXSI.NS!A:A=A351)"),0.006610386747417875)</f>
        <v>0.006610386747</v>
      </c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1">
        <f>IFERROR(__xludf.DUMMYFUNCTION("""COMPUTED_VALUE"""),44859.0)</f>
        <v>44859</v>
      </c>
      <c r="B352" s="32">
        <f>IFERROR(__xludf.DUMMYFUNCTION("FILTER(INFY.NS!H:H,INFY.NS!A:A=A352)"),0.005567133203947143)</f>
        <v>0.005567133204</v>
      </c>
      <c r="C352" s="32">
        <f>IFERROR(__xludf.DUMMYFUNCTION("FILTER(IRCTC.NS!H:H,IRCTC.NS!A:A=A352)"),-0.004571072942797566)</f>
        <v>-0.004571072943</v>
      </c>
      <c r="D352" s="32">
        <f>IFERROR(__xludf.DUMMYFUNCTION("FILTER(TATAELXSI.NS!H:H,TATAELXSI.NS!A:A=A352)"),-0.01681418279161687)</f>
        <v>-0.01681418279</v>
      </c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1">
        <f>IFERROR(__xludf.DUMMYFUNCTION("""COMPUTED_VALUE"""),44861.0)</f>
        <v>44861</v>
      </c>
      <c r="B353" s="32">
        <f>IFERROR(__xludf.DUMMYFUNCTION("FILTER(INFY.NS!H:H,INFY.NS!A:A=A353)"),-0.001539735258175235)</f>
        <v>-0.001539735258</v>
      </c>
      <c r="C353" s="32">
        <f>IFERROR(__xludf.DUMMYFUNCTION("FILTER(IRCTC.NS!H:H,IRCTC.NS!A:A=A353)"),0.001147995640799668)</f>
        <v>0.001147995641</v>
      </c>
      <c r="D353" s="32">
        <f>IFERROR(__xludf.DUMMYFUNCTION("FILTER(TATAELXSI.NS!H:H,TATAELXSI.NS!A:A=A353)"),-0.02272345071619982)</f>
        <v>-0.02272345072</v>
      </c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1">
        <f>IFERROR(__xludf.DUMMYFUNCTION("""COMPUTED_VALUE"""),44862.0)</f>
        <v>44862</v>
      </c>
      <c r="B354" s="32">
        <f>IFERROR(__xludf.DUMMYFUNCTION("FILTER(INFY.NS!H:H,INFY.NS!A:A=A354)"),-0.007021195803037271)</f>
        <v>-0.007021195803</v>
      </c>
      <c r="C354" s="32">
        <f>IFERROR(__xludf.DUMMYFUNCTION("FILTER(IRCTC.NS!H:H,IRCTC.NS!A:A=A354)"),-0.002495751770657632)</f>
        <v>-0.002495751771</v>
      </c>
      <c r="D354" s="32">
        <f>IFERROR(__xludf.DUMMYFUNCTION("FILTER(TATAELXSI.NS!H:H,TATAELXSI.NS!A:A=A354)"),-0.021002121277184167)</f>
        <v>-0.02100212128</v>
      </c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1">
        <f>IFERROR(__xludf.DUMMYFUNCTION("""COMPUTED_VALUE"""),44865.0)</f>
        <v>44865</v>
      </c>
      <c r="B355" s="32">
        <f>IFERROR(__xludf.DUMMYFUNCTION("FILTER(INFY.NS!H:H,INFY.NS!A:A=A355)"),0.016124251775978874)</f>
        <v>0.01612425178</v>
      </c>
      <c r="C355" s="32">
        <f>IFERROR(__xludf.DUMMYFUNCTION("FILTER(IRCTC.NS!H:H,IRCTC.NS!A:A=A355)"),0.002434389966965953)</f>
        <v>0.002434389967</v>
      </c>
      <c r="D355" s="32">
        <f>IFERROR(__xludf.DUMMYFUNCTION("FILTER(TATAELXSI.NS!H:H,TATAELXSI.NS!A:A=A355)"),0.017489382495497197)</f>
        <v>0.0174893825</v>
      </c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1">
        <f>IFERROR(__xludf.DUMMYFUNCTION("""COMPUTED_VALUE"""),44866.0)</f>
        <v>44866</v>
      </c>
      <c r="B356" s="32">
        <f>IFERROR(__xludf.DUMMYFUNCTION("FILTER(INFY.NS!H:H,INFY.NS!A:A=A356)"),0.02298961106119683)</f>
        <v>0.02298961106</v>
      </c>
      <c r="C356" s="32">
        <f>IFERROR(__xludf.DUMMYFUNCTION("FILTER(IRCTC.NS!H:H,IRCTC.NS!A:A=A356)"),0.0014166054816523463)</f>
        <v>0.001416605482</v>
      </c>
      <c r="D356" s="32">
        <f>IFERROR(__xludf.DUMMYFUNCTION("FILTER(TATAELXSI.NS!H:H,TATAELXSI.NS!A:A=A356)"),-0.005724864375160063)</f>
        <v>-0.005724864375</v>
      </c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1">
        <f>IFERROR(__xludf.DUMMYFUNCTION("""COMPUTED_VALUE"""),44867.0)</f>
        <v>44867</v>
      </c>
      <c r="B357" s="32">
        <f>IFERROR(__xludf.DUMMYFUNCTION("FILTER(INFY.NS!H:H,INFY.NS!A:A=A357)"),-0.01252380864589959)</f>
        <v>-0.01252380865</v>
      </c>
      <c r="C357" s="32">
        <f>IFERROR(__xludf.DUMMYFUNCTION("FILTER(IRCTC.NS!H:H,IRCTC.NS!A:A=A357)"),0.017783781744695203)</f>
        <v>0.01778378174</v>
      </c>
      <c r="D357" s="32">
        <f>IFERROR(__xludf.DUMMYFUNCTION("FILTER(TATAELXSI.NS!H:H,TATAELXSI.NS!A:A=A357)"),-0.0018113819191493108)</f>
        <v>-0.001811381919</v>
      </c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1">
        <f>IFERROR(__xludf.DUMMYFUNCTION("""COMPUTED_VALUE"""),44868.0)</f>
        <v>44868</v>
      </c>
      <c r="B358" s="32">
        <f>IFERROR(__xludf.DUMMYFUNCTION("FILTER(INFY.NS!H:H,INFY.NS!A:A=A358)"),-0.014517510003632238)</f>
        <v>-0.01451751</v>
      </c>
      <c r="C358" s="32">
        <f>IFERROR(__xludf.DUMMYFUNCTION("FILTER(IRCTC.NS!H:H,IRCTC.NS!A:A=A358)"),-0.005361027117172095)</f>
        <v>-0.005361027117</v>
      </c>
      <c r="D358" s="32">
        <f>IFERROR(__xludf.DUMMYFUNCTION("FILTER(TATAELXSI.NS!H:H,TATAELXSI.NS!A:A=A358)"),-0.007280546661524029)</f>
        <v>-0.007280546662</v>
      </c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1">
        <f>IFERROR(__xludf.DUMMYFUNCTION("""COMPUTED_VALUE"""),44869.0)</f>
        <v>44869</v>
      </c>
      <c r="B359" s="32">
        <f>IFERROR(__xludf.DUMMYFUNCTION("FILTER(INFY.NS!H:H,INFY.NS!A:A=A359)"),-0.010942348521966357)</f>
        <v>-0.01094234852</v>
      </c>
      <c r="C359" s="32">
        <f>IFERROR(__xludf.DUMMYFUNCTION("FILTER(IRCTC.NS!H:H,IRCTC.NS!A:A=A359)"),0.009448996237987835)</f>
        <v>0.009448996238</v>
      </c>
      <c r="D359" s="32">
        <f>IFERROR(__xludf.DUMMYFUNCTION("FILTER(TATAELXSI.NS!H:H,TATAELXSI.NS!A:A=A359)"),0.0022342499936825514)</f>
        <v>0.002234249994</v>
      </c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1">
        <f>IFERROR(__xludf.DUMMYFUNCTION("""COMPUTED_VALUE"""),44872.0)</f>
        <v>44872</v>
      </c>
      <c r="B360" s="32">
        <f>IFERROR(__xludf.DUMMYFUNCTION("FILTER(INFY.NS!H:H,INFY.NS!A:A=A360)"),-0.004326320343460994)</f>
        <v>-0.004326320343</v>
      </c>
      <c r="C360" s="32">
        <f>IFERROR(__xludf.DUMMYFUNCTION("FILTER(IRCTC.NS!H:H,IRCTC.NS!A:A=A360)"),0.007119346077785142)</f>
        <v>0.007119346078</v>
      </c>
      <c r="D360" s="32">
        <f>IFERROR(__xludf.DUMMYFUNCTION("FILTER(TATAELXSI.NS!H:H,TATAELXSI.NS!A:A=A360)"),0.009901548473274319)</f>
        <v>0.009901548473</v>
      </c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1">
        <f>IFERROR(__xludf.DUMMYFUNCTION("""COMPUTED_VALUE"""),44874.0)</f>
        <v>44874</v>
      </c>
      <c r="B361" s="32">
        <f>IFERROR(__xludf.DUMMYFUNCTION("FILTER(INFY.NS!H:H,INFY.NS!A:A=A361)"),0.0024876447788613845)</f>
        <v>0.002487644779</v>
      </c>
      <c r="C361" s="32">
        <f>IFERROR(__xludf.DUMMYFUNCTION("FILTER(IRCTC.NS!H:H,IRCTC.NS!A:A=A361)"),-0.0034690717590552533)</f>
        <v>-0.003469071759</v>
      </c>
      <c r="D361" s="32">
        <f>IFERROR(__xludf.DUMMYFUNCTION("FILTER(TATAELXSI.NS!H:H,TATAELXSI.NS!A:A=A361)"),0.0033039446073189734)</f>
        <v>0.003303944607</v>
      </c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1">
        <f>IFERROR(__xludf.DUMMYFUNCTION("""COMPUTED_VALUE"""),44875.0)</f>
        <v>44875</v>
      </c>
      <c r="B362" s="32">
        <f>IFERROR(__xludf.DUMMYFUNCTION("FILTER(INFY.NS!H:H,INFY.NS!A:A=A362)"),-0.006120963671206472)</f>
        <v>-0.006120963671</v>
      </c>
      <c r="C362" s="32">
        <f>IFERROR(__xludf.DUMMYFUNCTION("FILTER(IRCTC.NS!H:H,IRCTC.NS!A:A=A362)"),-0.022068949753694563)</f>
        <v>-0.02206894975</v>
      </c>
      <c r="D362" s="32">
        <f>IFERROR(__xludf.DUMMYFUNCTION("FILTER(TATAELXSI.NS!H:H,TATAELXSI.NS!A:A=A362)"),-0.010543582398742717)</f>
        <v>-0.0105435824</v>
      </c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1">
        <f>IFERROR(__xludf.DUMMYFUNCTION("""COMPUTED_VALUE"""),44876.0)</f>
        <v>44876</v>
      </c>
      <c r="B363" s="32">
        <f>IFERROR(__xludf.DUMMYFUNCTION("FILTER(INFY.NS!H:H,INFY.NS!A:A=A363)"),0.045374364807978816)</f>
        <v>0.04537436481</v>
      </c>
      <c r="C363" s="32">
        <f>IFERROR(__xludf.DUMMYFUNCTION("FILTER(IRCTC.NS!H:H,IRCTC.NS!A:A=A363)"),0.004499934107059924)</f>
        <v>0.004499934107</v>
      </c>
      <c r="D363" s="32">
        <f>IFERROR(__xludf.DUMMYFUNCTION("FILTER(TATAELXSI.NS!H:H,TATAELXSI.NS!A:A=A363)"),0.005313514007806347)</f>
        <v>0.005313514008</v>
      </c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1">
        <f>IFERROR(__xludf.DUMMYFUNCTION("""COMPUTED_VALUE"""),44879.0)</f>
        <v>44879</v>
      </c>
      <c r="B364" s="32">
        <f>IFERROR(__xludf.DUMMYFUNCTION("FILTER(INFY.NS!H:H,INFY.NS!A:A=A364)"),0.009680958685652497)</f>
        <v>0.009680958686</v>
      </c>
      <c r="C364" s="32">
        <f>IFERROR(__xludf.DUMMYFUNCTION("FILTER(IRCTC.NS!H:H,IRCTC.NS!A:A=A364)"),0.014709815694728253)</f>
        <v>0.01470981569</v>
      </c>
      <c r="D364" s="32">
        <f>IFERROR(__xludf.DUMMYFUNCTION("FILTER(TATAELXSI.NS!H:H,TATAELXSI.NS!A:A=A364)"),0.0018312387791741473)</f>
        <v>0.001831238779</v>
      </c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1">
        <f>IFERROR(__xludf.DUMMYFUNCTION("""COMPUTED_VALUE"""),44880.0)</f>
        <v>44880</v>
      </c>
      <c r="B365" s="32">
        <f>IFERROR(__xludf.DUMMYFUNCTION("FILTER(INFY.NS!H:H,INFY.NS!A:A=A365)"),0.005487889188856044)</f>
        <v>0.005487889189</v>
      </c>
      <c r="C365" s="32">
        <f>IFERROR(__xludf.DUMMYFUNCTION("FILTER(IRCTC.NS!H:H,IRCTC.NS!A:A=A365)"),-0.023919299271259287)</f>
        <v>-0.02391929927</v>
      </c>
      <c r="D365" s="32">
        <f>IFERROR(__xludf.DUMMYFUNCTION("FILTER(TATAELXSI.NS!H:H,TATAELXSI.NS!A:A=A365)"),0.003641432493459032)</f>
        <v>0.003641432493</v>
      </c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1">
        <f>IFERROR(__xludf.DUMMYFUNCTION("""COMPUTED_VALUE"""),44881.0)</f>
        <v>44881</v>
      </c>
      <c r="B366" s="32">
        <f>IFERROR(__xludf.DUMMYFUNCTION("FILTER(INFY.NS!H:H,INFY.NS!A:A=A366)"),0.005520733375156803)</f>
        <v>0.005520733375</v>
      </c>
      <c r="C366" s="32">
        <f>IFERROR(__xludf.DUMMYFUNCTION("FILTER(IRCTC.NS!H:H,IRCTC.NS!A:A=A366)"),-0.01687706689387753)</f>
        <v>-0.01687706689</v>
      </c>
      <c r="D366" s="32">
        <f>IFERROR(__xludf.DUMMYFUNCTION("FILTER(TATAELXSI.NS!H:H,TATAELXSI.NS!A:A=A366)"),-0.007756394729079)</f>
        <v>-0.007756394729</v>
      </c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1">
        <f>IFERROR(__xludf.DUMMYFUNCTION("""COMPUTED_VALUE"""),44882.0)</f>
        <v>44882</v>
      </c>
      <c r="B367" s="32">
        <f>IFERROR(__xludf.DUMMYFUNCTION("FILTER(INFY.NS!H:H,INFY.NS!A:A=A367)"),-0.00960820097903548)</f>
        <v>-0.009608200979</v>
      </c>
      <c r="C367" s="32">
        <f>IFERROR(__xludf.DUMMYFUNCTION("FILTER(IRCTC.NS!H:H,IRCTC.NS!A:A=A367)"),-0.002334700190849702)</f>
        <v>-0.002334700191</v>
      </c>
      <c r="D367" s="32">
        <f>IFERROR(__xludf.DUMMYFUNCTION("FILTER(TATAELXSI.NS!H:H,TATAELXSI.NS!A:A=A367)"),-0.01484951111659324)</f>
        <v>-0.01484951112</v>
      </c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1">
        <f>IFERROR(__xludf.DUMMYFUNCTION("""COMPUTED_VALUE"""),44883.0)</f>
        <v>44883</v>
      </c>
      <c r="B368" s="32">
        <f>IFERROR(__xludf.DUMMYFUNCTION("FILTER(INFY.NS!H:H,INFY.NS!A:A=A368)"),0.003779765597382906)</f>
        <v>0.003779765597</v>
      </c>
      <c r="C368" s="32">
        <f>IFERROR(__xludf.DUMMYFUNCTION("FILTER(IRCTC.NS!H:H,IRCTC.NS!A:A=A368)"),-0.011494302239752795)</f>
        <v>-0.01149430224</v>
      </c>
      <c r="D368" s="32">
        <f>IFERROR(__xludf.DUMMYFUNCTION("FILTER(TATAELXSI.NS!H:H,TATAELXSI.NS!A:A=A368)"),0.007511091526674171)</f>
        <v>0.007511091527</v>
      </c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1">
        <f>IFERROR(__xludf.DUMMYFUNCTION("""COMPUTED_VALUE"""),44886.0)</f>
        <v>44886</v>
      </c>
      <c r="B369" s="32">
        <f>IFERROR(__xludf.DUMMYFUNCTION("FILTER(INFY.NS!H:H,INFY.NS!A:A=A369)"),-0.015815283431927434)</f>
        <v>-0.01581528343</v>
      </c>
      <c r="C369" s="32">
        <f>IFERROR(__xludf.DUMMYFUNCTION("FILTER(IRCTC.NS!H:H,IRCTC.NS!A:A=A369)"),-0.003551020867879802)</f>
        <v>-0.003551020868</v>
      </c>
      <c r="D369" s="32">
        <f>IFERROR(__xludf.DUMMYFUNCTION("FILTER(TATAELXSI.NS!H:H,TATAELXSI.NS!A:A=A369)"),-0.0056348587949676164)</f>
        <v>-0.005634858795</v>
      </c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1">
        <f>IFERROR(__xludf.DUMMYFUNCTION("""COMPUTED_VALUE"""),44887.0)</f>
        <v>44887</v>
      </c>
      <c r="B370" s="32">
        <f>IFERROR(__xludf.DUMMYFUNCTION("FILTER(INFY.NS!H:H,INFY.NS!A:A=A370)"),0.010744865786569514)</f>
        <v>0.01074486579</v>
      </c>
      <c r="C370" s="32">
        <f>IFERROR(__xludf.DUMMYFUNCTION("FILTER(IRCTC.NS!H:H,IRCTC.NS!A:A=A370)"),-5.589602497484137E-4)</f>
        <v>-0.0005589602497</v>
      </c>
      <c r="D370" s="32">
        <f>IFERROR(__xludf.DUMMYFUNCTION("FILTER(TATAELXSI.NS!H:H,TATAELXSI.NS!A:A=A370)"),-0.00423002589067571)</f>
        <v>-0.004230025891</v>
      </c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1">
        <f>IFERROR(__xludf.DUMMYFUNCTION("""COMPUTED_VALUE"""),44888.0)</f>
        <v>44888</v>
      </c>
      <c r="B371" s="32">
        <f>IFERROR(__xludf.DUMMYFUNCTION("FILTER(INFY.NS!H:H,INFY.NS!A:A=A371)"),-0.0011987160917717584)</f>
        <v>-0.001198716092</v>
      </c>
      <c r="C371" s="32">
        <f>IFERROR(__xludf.DUMMYFUNCTION("FILTER(IRCTC.NS!H:H,IRCTC.NS!A:A=A371)"),0.009298697863149278)</f>
        <v>0.009298697863</v>
      </c>
      <c r="D371" s="32">
        <f>IFERROR(__xludf.DUMMYFUNCTION("FILTER(TATAELXSI.NS!H:H,TATAELXSI.NS!A:A=A371)"),-0.013762067601713897)</f>
        <v>-0.0137620676</v>
      </c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1">
        <f>IFERROR(__xludf.DUMMYFUNCTION("""COMPUTED_VALUE"""),44889.0)</f>
        <v>44889</v>
      </c>
      <c r="B372" s="32">
        <f>IFERROR(__xludf.DUMMYFUNCTION("FILTER(INFY.NS!H:H,INFY.NS!A:A=A372)"),0.029466585157945785)</f>
        <v>0.02946658516</v>
      </c>
      <c r="C372" s="32">
        <f>IFERROR(__xludf.DUMMYFUNCTION("FILTER(IRCTC.NS!H:H,IRCTC.NS!A:A=A372)"),0.0024244943600636357)</f>
        <v>0.00242449436</v>
      </c>
      <c r="D372" s="32">
        <f>IFERROR(__xludf.DUMMYFUNCTION("FILTER(TATAELXSI.NS!H:H,TATAELXSI.NS!A:A=A372)"),-0.016991430951955884)</f>
        <v>-0.01699143095</v>
      </c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1">
        <f>IFERROR(__xludf.DUMMYFUNCTION("""COMPUTED_VALUE"""),44890.0)</f>
        <v>44890</v>
      </c>
      <c r="B373" s="32">
        <f>IFERROR(__xludf.DUMMYFUNCTION("FILTER(INFY.NS!H:H,INFY.NS!A:A=A373)"),0.0035893820248621713)</f>
        <v>0.003589382025</v>
      </c>
      <c r="C373" s="32">
        <f>IFERROR(__xludf.DUMMYFUNCTION("FILTER(IRCTC.NS!H:H,IRCTC.NS!A:A=A373)"),-0.0025568046861745917)</f>
        <v>-0.002556804686</v>
      </c>
      <c r="D373" s="32">
        <f>IFERROR(__xludf.DUMMYFUNCTION("FILTER(TATAELXSI.NS!H:H,TATAELXSI.NS!A:A=A373)"),0.024409267404827215)</f>
        <v>0.0244092674</v>
      </c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1">
        <f>IFERROR(__xludf.DUMMYFUNCTION("""COMPUTED_VALUE"""),44893.0)</f>
        <v>44893</v>
      </c>
      <c r="B374" s="32">
        <f>IFERROR(__xludf.DUMMYFUNCTION("FILTER(INFY.NS!H:H,INFY.NS!A:A=A374)"),-0.007489377201879954)</f>
        <v>-0.007489377202</v>
      </c>
      <c r="C374" s="32">
        <f>IFERROR(__xludf.DUMMYFUNCTION("FILTER(IRCTC.NS!H:H,IRCTC.NS!A:A=A374)"),0.005819609159158522)</f>
        <v>0.005819609159</v>
      </c>
      <c r="D374" s="32">
        <f>IFERROR(__xludf.DUMMYFUNCTION("FILTER(TATAELXSI.NS!H:H,TATAELXSI.NS!A:A=A374)"),0.00250739305025234)</f>
        <v>0.00250739305</v>
      </c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1">
        <f>IFERROR(__xludf.DUMMYFUNCTION("""COMPUTED_VALUE"""),44894.0)</f>
        <v>44894</v>
      </c>
      <c r="B375" s="32">
        <f>IFERROR(__xludf.DUMMYFUNCTION("FILTER(INFY.NS!H:H,INFY.NS!A:A=A375)"),0.0034803652312868968)</f>
        <v>0.003480365231</v>
      </c>
      <c r="C375" s="32">
        <f>IFERROR(__xludf.DUMMYFUNCTION("FILTER(IRCTC.NS!H:H,IRCTC.NS!A:A=A375)"),-0.003995073569525092)</f>
        <v>-0.00399507357</v>
      </c>
      <c r="D375" s="32">
        <f>IFERROR(__xludf.DUMMYFUNCTION("FILTER(TATAELXSI.NS!H:H,TATAELXSI.NS!A:A=A375)"),-0.0022363257878779187)</f>
        <v>-0.002236325788</v>
      </c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1">
        <f>IFERROR(__xludf.DUMMYFUNCTION("""COMPUTED_VALUE"""),44895.0)</f>
        <v>44895</v>
      </c>
      <c r="B376" s="32">
        <f>IFERROR(__xludf.DUMMYFUNCTION("FILTER(INFY.NS!H:H,INFY.NS!A:A=A376)"),0.0036216824667982383)</f>
        <v>0.003621682467</v>
      </c>
      <c r="C376" s="32">
        <f>IFERROR(__xludf.DUMMYFUNCTION("FILTER(IRCTC.NS!H:H,IRCTC.NS!A:A=A376)"),0.018257278008298777)</f>
        <v>0.01825727801</v>
      </c>
      <c r="D376" s="32">
        <f>IFERROR(__xludf.DUMMYFUNCTION("FILTER(TATAELXSI.NS!H:H,TATAELXSI.NS!A:A=A376)"),0.03369336823091385)</f>
        <v>0.03369336823</v>
      </c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1">
        <f>IFERROR(__xludf.DUMMYFUNCTION("""COMPUTED_VALUE"""),44896.0)</f>
        <v>44896</v>
      </c>
      <c r="B377" s="32">
        <f>IFERROR(__xludf.DUMMYFUNCTION("FILTER(INFY.NS!H:H,INFY.NS!A:A=A377)"),0.013547830614907864)</f>
        <v>0.01354783061</v>
      </c>
      <c r="C377" s="32">
        <f>IFERROR(__xludf.DUMMYFUNCTION("FILTER(IRCTC.NS!H:H,IRCTC.NS!A:A=A377)"),-0.005772887708130056)</f>
        <v>-0.005772887708</v>
      </c>
      <c r="D377" s="32">
        <f>IFERROR(__xludf.DUMMYFUNCTION("FILTER(TATAELXSI.NS!H:H,TATAELXSI.NS!A:A=A377)"),0.008758589493955296)</f>
        <v>0.008758589494</v>
      </c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1">
        <f>IFERROR(__xludf.DUMMYFUNCTION("""COMPUTED_VALUE"""),44897.0)</f>
        <v>44897</v>
      </c>
      <c r="B378" s="32">
        <f>IFERROR(__xludf.DUMMYFUNCTION("FILTER(INFY.NS!H:H,INFY.NS!A:A=A378)"),-0.011586477749125221)</f>
        <v>-0.01158647775</v>
      </c>
      <c r="C378" s="32">
        <f>IFERROR(__xludf.DUMMYFUNCTION("FILTER(IRCTC.NS!H:H,IRCTC.NS!A:A=A378)"),-0.0025275441897254117)</f>
        <v>-0.00252754419</v>
      </c>
      <c r="D378" s="32">
        <f>IFERROR(__xludf.DUMMYFUNCTION("FILTER(TATAELXSI.NS!H:H,TATAELXSI.NS!A:A=A378)"),-0.005331104837265424)</f>
        <v>-0.005331104837</v>
      </c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1">
        <f>IFERROR(__xludf.DUMMYFUNCTION("""COMPUTED_VALUE"""),44900.0)</f>
        <v>44900</v>
      </c>
      <c r="B379" s="32">
        <f>IFERROR(__xludf.DUMMYFUNCTION("FILTER(INFY.NS!H:H,INFY.NS!A:A=A379)"),0.0011294804157106293)</f>
        <v>0.001129480416</v>
      </c>
      <c r="C379" s="32">
        <f>IFERROR(__xludf.DUMMYFUNCTION("FILTER(IRCTC.NS!H:H,IRCTC.NS!A:A=A379)"),-0.0013696754319575542)</f>
        <v>-0.001369675432</v>
      </c>
      <c r="D379" s="32">
        <f>IFERROR(__xludf.DUMMYFUNCTION("FILTER(TATAELXSI.NS!H:H,TATAELXSI.NS!A:A=A379)"),-0.01031430291496402)</f>
        <v>-0.01031430291</v>
      </c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1">
        <f>IFERROR(__xludf.DUMMYFUNCTION("""COMPUTED_VALUE"""),44901.0)</f>
        <v>44901</v>
      </c>
      <c r="B380" s="32">
        <f>IFERROR(__xludf.DUMMYFUNCTION("FILTER(INFY.NS!H:H,INFY.NS!A:A=A380)"),-0.016374432687909724)</f>
        <v>-0.01637443269</v>
      </c>
      <c r="C380" s="32">
        <f>IFERROR(__xludf.DUMMYFUNCTION("FILTER(IRCTC.NS!H:H,IRCTC.NS!A:A=A380)"),-0.01735010892388228)</f>
        <v>-0.01735010892</v>
      </c>
      <c r="D380" s="32">
        <f>IFERROR(__xludf.DUMMYFUNCTION("FILTER(TATAELXSI.NS!H:H,TATAELXSI.NS!A:A=A380)"),-0.011025081317042258)</f>
        <v>-0.01102508132</v>
      </c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1">
        <f>IFERROR(__xludf.DUMMYFUNCTION("""COMPUTED_VALUE"""),44902.0)</f>
        <v>44902</v>
      </c>
      <c r="B381" s="32">
        <f>IFERROR(__xludf.DUMMYFUNCTION("FILTER(INFY.NS!H:H,INFY.NS!A:A=A381)"),-0.004588023987778197)</f>
        <v>-0.004588023988</v>
      </c>
      <c r="C381" s="32">
        <f>IFERROR(__xludf.DUMMYFUNCTION("FILTER(IRCTC.NS!H:H,IRCTC.NS!A:A=A381)"),0.0011863716738970053)</f>
        <v>0.001186371674</v>
      </c>
      <c r="D381" s="32">
        <f>IFERROR(__xludf.DUMMYFUNCTION("FILTER(TATAELXSI.NS!H:H,TATAELXSI.NS!A:A=A381)"),-0.006964726991574446)</f>
        <v>-0.006964726992</v>
      </c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1">
        <f>IFERROR(__xludf.DUMMYFUNCTION("""COMPUTED_VALUE"""),44903.0)</f>
        <v>44903</v>
      </c>
      <c r="B382" s="32">
        <f>IFERROR(__xludf.DUMMYFUNCTION("FILTER(INFY.NS!H:H,INFY.NS!A:A=A382)"),0.009124898162566198)</f>
        <v>0.009124898163</v>
      </c>
      <c r="C382" s="32">
        <f>IFERROR(__xludf.DUMMYFUNCTION("FILTER(IRCTC.NS!H:H,IRCTC.NS!A:A=A382)"),0.004670341636754698)</f>
        <v>0.004670341637</v>
      </c>
      <c r="D382" s="32">
        <f>IFERROR(__xludf.DUMMYFUNCTION("FILTER(TATAELXSI.NS!H:H,TATAELXSI.NS!A:A=A382)"),-9.288248451562325E-4)</f>
        <v>-0.0009288248452</v>
      </c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1">
        <f>IFERROR(__xludf.DUMMYFUNCTION("""COMPUTED_VALUE"""),44904.0)</f>
        <v>44904</v>
      </c>
      <c r="B383" s="32">
        <f>IFERROR(__xludf.DUMMYFUNCTION("FILTER(INFY.NS!H:H,INFY.NS!A:A=A383)"),-0.031385966883768095)</f>
        <v>-0.03138596688</v>
      </c>
      <c r="C383" s="32">
        <f>IFERROR(__xludf.DUMMYFUNCTION("FILTER(IRCTC.NS!H:H,IRCTC.NS!A:A=A383)"),0.0020814541733783385)</f>
        <v>0.002081454173</v>
      </c>
      <c r="D383" s="32">
        <f>IFERROR(__xludf.DUMMYFUNCTION("FILTER(TATAELXSI.NS!H:H,TATAELXSI.NS!A:A=A383)"),-0.012385909475529184)</f>
        <v>-0.01238590948</v>
      </c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1">
        <f>IFERROR(__xludf.DUMMYFUNCTION("""COMPUTED_VALUE"""),44907.0)</f>
        <v>44907</v>
      </c>
      <c r="B384" s="32">
        <f>IFERROR(__xludf.DUMMYFUNCTION("FILTER(INFY.NS!H:H,INFY.NS!A:A=A384)"),-0.014082774045717174)</f>
        <v>-0.01408277405</v>
      </c>
      <c r="C384" s="32">
        <f>IFERROR(__xludf.DUMMYFUNCTION("FILTER(IRCTC.NS!H:H,IRCTC.NS!A:A=A384)"),0.0024233191744656092)</f>
        <v>0.002423319174</v>
      </c>
      <c r="D384" s="32">
        <f>IFERROR(__xludf.DUMMYFUNCTION("FILTER(TATAELXSI.NS!H:H,TATAELXSI.NS!A:A=A384)"),-0.007930919467813068)</f>
        <v>-0.007930919468</v>
      </c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1">
        <f>IFERROR(__xludf.DUMMYFUNCTION("""COMPUTED_VALUE"""),44908.0)</f>
        <v>44908</v>
      </c>
      <c r="B385" s="32">
        <f>IFERROR(__xludf.DUMMYFUNCTION("FILTER(INFY.NS!H:H,INFY.NS!A:A=A385)"),0.016125952553109908)</f>
        <v>0.01612595255</v>
      </c>
      <c r="C385" s="32">
        <f>IFERROR(__xludf.DUMMYFUNCTION("FILTER(IRCTC.NS!H:H,IRCTC.NS!A:A=A385)"),-0.0014505428445738809)</f>
        <v>-0.001450542845</v>
      </c>
      <c r="D385" s="32">
        <f>IFERROR(__xludf.DUMMYFUNCTION("FILTER(TATAELXSI.NS!H:H,TATAELXSI.NS!A:A=A385)"),-0.008913280585752192)</f>
        <v>-0.008913280586</v>
      </c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1">
        <f>IFERROR(__xludf.DUMMYFUNCTION("""COMPUTED_VALUE"""),44909.0)</f>
        <v>44909</v>
      </c>
      <c r="B386" s="32">
        <f>IFERROR(__xludf.DUMMYFUNCTION("FILTER(INFY.NS!H:H,INFY.NS!A:A=A386)"),0.00461151918667019)</f>
        <v>0.004611519187</v>
      </c>
      <c r="C386" s="32">
        <f>IFERROR(__xludf.DUMMYFUNCTION("FILTER(IRCTC.NS!H:H,IRCTC.NS!A:A=A386)"),0.01667019215616611)</f>
        <v>0.01667019216</v>
      </c>
      <c r="D386" s="32">
        <f>IFERROR(__xludf.DUMMYFUNCTION("FILTER(TATAELXSI.NS!H:H,TATAELXSI.NS!A:A=A386)"),-0.0017187683309049608)</f>
        <v>-0.001718768331</v>
      </c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1">
        <f>IFERROR(__xludf.DUMMYFUNCTION("""COMPUTED_VALUE"""),44910.0)</f>
        <v>44910</v>
      </c>
      <c r="B387" s="32">
        <f>IFERROR(__xludf.DUMMYFUNCTION("FILTER(INFY.NS!H:H,INFY.NS!A:A=A387)"),-0.024629621000942844)</f>
        <v>-0.024629621</v>
      </c>
      <c r="C387" s="32">
        <f>IFERROR(__xludf.DUMMYFUNCTION("FILTER(IRCTC.NS!H:H,IRCTC.NS!A:A=A387)"),-0.06238948768900849)</f>
        <v>-0.06238948769</v>
      </c>
      <c r="D387" s="32">
        <f>IFERROR(__xludf.DUMMYFUNCTION("FILTER(TATAELXSI.NS!H:H,TATAELXSI.NS!A:A=A387)"),-0.010700491589652117)</f>
        <v>-0.01070049159</v>
      </c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1">
        <f>IFERROR(__xludf.DUMMYFUNCTION("""COMPUTED_VALUE"""),44911.0)</f>
        <v>44911</v>
      </c>
      <c r="B388" s="32">
        <f>IFERROR(__xludf.DUMMYFUNCTION("FILTER(INFY.NS!H:H,INFY.NS!A:A=A388)"),-0.01187929178838036)</f>
        <v>-0.01187929179</v>
      </c>
      <c r="C388" s="32">
        <f>IFERROR(__xludf.DUMMYFUNCTION("FILTER(IRCTC.NS!H:H,IRCTC.NS!A:A=A388)"),-0.024526470204364846)</f>
        <v>-0.0245264702</v>
      </c>
      <c r="D388" s="32">
        <f>IFERROR(__xludf.DUMMYFUNCTION("FILTER(TATAELXSI.NS!H:H,TATAELXSI.NS!A:A=A388)"),-0.018464691839437584)</f>
        <v>-0.01846469184</v>
      </c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1">
        <f>IFERROR(__xludf.DUMMYFUNCTION("""COMPUTED_VALUE"""),44914.0)</f>
        <v>44914</v>
      </c>
      <c r="B389" s="32">
        <f>IFERROR(__xludf.DUMMYFUNCTION("FILTER(INFY.NS!H:H,INFY.NS!A:A=A389)"),-0.009755600760757143)</f>
        <v>-0.009755600761</v>
      </c>
      <c r="C389" s="32">
        <f>IFERROR(__xludf.DUMMYFUNCTION("FILTER(IRCTC.NS!H:H,IRCTC.NS!A:A=A389)"),0.006918044832205428)</f>
        <v>0.006918044832</v>
      </c>
      <c r="D389" s="32">
        <f>IFERROR(__xludf.DUMMYFUNCTION("FILTER(TATAELXSI.NS!H:H,TATAELXSI.NS!A:A=A389)"),-0.011836267483739489)</f>
        <v>-0.01183626748</v>
      </c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1">
        <f>IFERROR(__xludf.DUMMYFUNCTION("""COMPUTED_VALUE"""),44915.0)</f>
        <v>44915</v>
      </c>
      <c r="B390" s="32">
        <f>IFERROR(__xludf.DUMMYFUNCTION("FILTER(INFY.NS!H:H,INFY.NS!A:A=A390)"),-3.312236759542374E-5)</f>
        <v>-0.0000331223676</v>
      </c>
      <c r="C390" s="32">
        <f>IFERROR(__xludf.DUMMYFUNCTION("FILTER(IRCTC.NS!H:H,IRCTC.NS!A:A=A390)"),-0.003915431511502855)</f>
        <v>-0.003915431512</v>
      </c>
      <c r="D390" s="32">
        <f>IFERROR(__xludf.DUMMYFUNCTION("FILTER(TATAELXSI.NS!H:H,TATAELXSI.NS!A:A=A390)"),-0.0061463815967361946)</f>
        <v>-0.006146381597</v>
      </c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1">
        <f>IFERROR(__xludf.DUMMYFUNCTION("""COMPUTED_VALUE"""),44916.0)</f>
        <v>44916</v>
      </c>
      <c r="B391" s="32">
        <f>IFERROR(__xludf.DUMMYFUNCTION("FILTER(INFY.NS!H:H,INFY.NS!A:A=A391)"),0.0014927353060810522)</f>
        <v>0.001492735306</v>
      </c>
      <c r="C391" s="32">
        <f>IFERROR(__xludf.DUMMYFUNCTION("FILTER(IRCTC.NS!H:H,IRCTC.NS!A:A=A391)"),-0.030557050013544234)</f>
        <v>-0.03055705001</v>
      </c>
      <c r="D391" s="32">
        <f>IFERROR(__xludf.DUMMYFUNCTION("FILTER(TATAELXSI.NS!H:H,TATAELXSI.NS!A:A=A391)"),-0.01768221118897733)</f>
        <v>-0.01768221119</v>
      </c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1">
        <f>IFERROR(__xludf.DUMMYFUNCTION("""COMPUTED_VALUE"""),44917.0)</f>
        <v>44917</v>
      </c>
      <c r="B392" s="32">
        <f>IFERROR(__xludf.DUMMYFUNCTION("FILTER(INFY.NS!H:H,INFY.NS!A:A=A392)"),0.008280613159053993)</f>
        <v>0.008280613159</v>
      </c>
      <c r="C392" s="32">
        <f>IFERROR(__xludf.DUMMYFUNCTION("FILTER(IRCTC.NS!H:H,IRCTC.NS!A:A=A392)"),-0.019279284264939762)</f>
        <v>-0.01927928426</v>
      </c>
      <c r="D392" s="32">
        <f>IFERROR(__xludf.DUMMYFUNCTION("FILTER(TATAELXSI.NS!H:H,TATAELXSI.NS!A:A=A392)"),-0.024473654693448244)</f>
        <v>-0.02447365469</v>
      </c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1">
        <f>IFERROR(__xludf.DUMMYFUNCTION("""COMPUTED_VALUE"""),44918.0)</f>
        <v>44918</v>
      </c>
      <c r="B393" s="32">
        <f>IFERROR(__xludf.DUMMYFUNCTION("FILTER(INFY.NS!H:H,INFY.NS!A:A=A393)"),-0.016392412993509898)</f>
        <v>-0.01639241299</v>
      </c>
      <c r="C393" s="32">
        <f>IFERROR(__xludf.DUMMYFUNCTION("FILTER(IRCTC.NS!H:H,IRCTC.NS!A:A=A393)"),-0.052578221965927686)</f>
        <v>-0.05257822197</v>
      </c>
      <c r="D393" s="32">
        <f>IFERROR(__xludf.DUMMYFUNCTION("FILTER(TATAELXSI.NS!H:H,TATAELXSI.NS!A:A=A393)"),-0.035234962958752156)</f>
        <v>-0.03523496296</v>
      </c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1">
        <f>IFERROR(__xludf.DUMMYFUNCTION("""COMPUTED_VALUE"""),44921.0)</f>
        <v>44921</v>
      </c>
      <c r="B394" s="32">
        <f>IFERROR(__xludf.DUMMYFUNCTION("FILTER(INFY.NS!H:H,INFY.NS!A:A=A394)"),0.0035402097955815216)</f>
        <v>0.003540209796</v>
      </c>
      <c r="C394" s="32">
        <f>IFERROR(__xludf.DUMMYFUNCTION("FILTER(IRCTC.NS!H:H,IRCTC.NS!A:A=A394)"),0.024372149855907757)</f>
        <v>0.02437214986</v>
      </c>
      <c r="D394" s="32">
        <f>IFERROR(__xludf.DUMMYFUNCTION("FILTER(TATAELXSI.NS!H:H,TATAELXSI.NS!A:A=A394)"),0.0710993896519563)</f>
        <v>0.07109938965</v>
      </c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1">
        <f>IFERROR(__xludf.DUMMYFUNCTION("""COMPUTED_VALUE"""),44922.0)</f>
        <v>44922</v>
      </c>
      <c r="B395" s="32">
        <f>IFERROR(__xludf.DUMMYFUNCTION("FILTER(INFY.NS!H:H,INFY.NS!A:A=A395)"),0.008286709132800133)</f>
        <v>0.008286709133</v>
      </c>
      <c r="C395" s="32">
        <f>IFERROR(__xludf.DUMMYFUNCTION("FILTER(IRCTC.NS!H:H,IRCTC.NS!A:A=A395)"),0.01776382640168138)</f>
        <v>0.0177638264</v>
      </c>
      <c r="D395" s="32">
        <f>IFERROR(__xludf.DUMMYFUNCTION("FILTER(TATAELXSI.NS!H:H,TATAELXSI.NS!A:A=A395)"),0.028627862235297112)</f>
        <v>0.02862786224</v>
      </c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1">
        <f>IFERROR(__xludf.DUMMYFUNCTION("""COMPUTED_VALUE"""),44923.0)</f>
        <v>44923</v>
      </c>
      <c r="B396" s="32">
        <f>IFERROR(__xludf.DUMMYFUNCTION("FILTER(INFY.NS!H:H,INFY.NS!A:A=A396)"),-0.0031025857837158784)</f>
        <v>-0.003102585784</v>
      </c>
      <c r="C396" s="32">
        <f>IFERROR(__xludf.DUMMYFUNCTION("FILTER(IRCTC.NS!H:H,IRCTC.NS!A:A=A396)"),0.00892437879353202)</f>
        <v>0.008924378794</v>
      </c>
      <c r="D396" s="32">
        <f>IFERROR(__xludf.DUMMYFUNCTION("FILTER(TATAELXSI.NS!H:H,TATAELXSI.NS!A:A=A396)"),-0.01548593261723226)</f>
        <v>-0.01548593262</v>
      </c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1">
        <f>IFERROR(__xludf.DUMMYFUNCTION("""COMPUTED_VALUE"""),44924.0)</f>
        <v>44924</v>
      </c>
      <c r="B397" s="32">
        <f>IFERROR(__xludf.DUMMYFUNCTION("FILTER(INFY.NS!H:H,INFY.NS!A:A=A397)"),0.00490019195602775)</f>
        <v>0.004900191956</v>
      </c>
      <c r="C397" s="32">
        <f>IFERROR(__xludf.DUMMYFUNCTION("FILTER(IRCTC.NS!H:H,IRCTC.NS!A:A=A397)"),-0.008923697847358145)</f>
        <v>-0.008923697847</v>
      </c>
      <c r="D397" s="32">
        <f>IFERROR(__xludf.DUMMYFUNCTION("FILTER(TATAELXSI.NS!H:H,TATAELXSI.NS!A:A=A397)"),-0.011947142762563843)</f>
        <v>-0.01194714276</v>
      </c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1">
        <f>IFERROR(__xludf.DUMMYFUNCTION("""COMPUTED_VALUE"""),44925.0)</f>
        <v>44925</v>
      </c>
      <c r="B398" s="32">
        <f>IFERROR(__xludf.DUMMYFUNCTION("FILTER(INFY.NS!H:H,INFY.NS!A:A=A398)"),-0.006161311125231883)</f>
        <v>-0.006161311125</v>
      </c>
      <c r="C398" s="32">
        <f>IFERROR(__xludf.DUMMYFUNCTION("FILTER(IRCTC.NS!H:H,IRCTC.NS!A:A=A398)"),0.010504737581639494)</f>
        <v>0.01050473758</v>
      </c>
      <c r="D398" s="32">
        <f>IFERROR(__xludf.DUMMYFUNCTION("FILTER(TATAELXSI.NS!H:H,TATAELXSI.NS!A:A=A398)"),0.004715171738074105)</f>
        <v>0.004715171738</v>
      </c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1">
        <f>IFERROR(__xludf.DUMMYFUNCTION("""COMPUTED_VALUE"""),44928.0)</f>
        <v>44928</v>
      </c>
      <c r="B399" s="32">
        <f>IFERROR(__xludf.DUMMYFUNCTION("FILTER(INFY.NS!H:H,INFY.NS!A:A=A399)"),0.01047609701188748)</f>
        <v>0.01047609701</v>
      </c>
      <c r="C399" s="32">
        <f>IFERROR(__xludf.DUMMYFUNCTION("FILTER(IRCTC.NS!H:H,IRCTC.NS!A:A=A399)"),0.0041425104741125976)</f>
        <v>0.004142510474</v>
      </c>
      <c r="D399" s="32">
        <f>IFERROR(__xludf.DUMMYFUNCTION("FILTER(TATAELXSI.NS!H:H,TATAELXSI.NS!A:A=A399)"),0.0023067500638033543)</f>
        <v>0.002306750064</v>
      </c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1">
        <f>IFERROR(__xludf.DUMMYFUNCTION("""COMPUTED_VALUE"""),44929.0)</f>
        <v>44929</v>
      </c>
      <c r="B400" s="32">
        <f>IFERROR(__xludf.DUMMYFUNCTION("FILTER(INFY.NS!H:H,INFY.NS!A:A=A400)"),-9.51411417322871E-4)</f>
        <v>-0.0009514114173</v>
      </c>
      <c r="C400" s="32">
        <f>IFERROR(__xludf.DUMMYFUNCTION("FILTER(IRCTC.NS!H:H,IRCTC.NS!A:A=A400)"),0.002646551044628692)</f>
        <v>0.002646551045</v>
      </c>
      <c r="D400" s="32">
        <f>IFERROR(__xludf.DUMMYFUNCTION("FILTER(TATAELXSI.NS!H:H,TATAELXSI.NS!A:A=A400)"),0.01845120973401983)</f>
        <v>0.01845120973</v>
      </c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1">
        <f>IFERROR(__xludf.DUMMYFUNCTION("""COMPUTED_VALUE"""),44930.0)</f>
        <v>44930</v>
      </c>
      <c r="B401" s="32">
        <f>IFERROR(__xludf.DUMMYFUNCTION("FILTER(INFY.NS!H:H,INFY.NS!A:A=A401)"),-0.018226001843568953)</f>
        <v>-0.01822600184</v>
      </c>
      <c r="C401" s="32">
        <f>IFERROR(__xludf.DUMMYFUNCTION("FILTER(IRCTC.NS!H:H,IRCTC.NS!A:A=A401)"),-0.013741132155723245)</f>
        <v>-0.01374113216</v>
      </c>
      <c r="D401" s="32">
        <f>IFERROR(__xludf.DUMMYFUNCTION("FILTER(TATAELXSI.NS!H:H,TATAELXSI.NS!A:A=A401)"),-0.0073402940349480295)</f>
        <v>-0.007340294035</v>
      </c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1">
        <f>IFERROR(__xludf.DUMMYFUNCTION("""COMPUTED_VALUE"""),44931.0)</f>
        <v>44931</v>
      </c>
      <c r="B402" s="32">
        <f>IFERROR(__xludf.DUMMYFUNCTION("FILTER(INFY.NS!H:H,INFY.NS!A:A=A402)"),-0.013112187153801658)</f>
        <v>-0.01311218715</v>
      </c>
      <c r="C402" s="32">
        <f>IFERROR(__xludf.DUMMYFUNCTION("FILTER(IRCTC.NS!H:H,IRCTC.NS!A:A=A402)"),0.0030699180780242416)</f>
        <v>0.003069918078</v>
      </c>
      <c r="D402" s="32">
        <f>IFERROR(__xludf.DUMMYFUNCTION("FILTER(TATAELXSI.NS!H:H,TATAELXSI.NS!A:A=A402)"),-0.0128893897549168)</f>
        <v>-0.01288938975</v>
      </c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1">
        <f>IFERROR(__xludf.DUMMYFUNCTION("""COMPUTED_VALUE"""),44932.0)</f>
        <v>44932</v>
      </c>
      <c r="B403" s="32">
        <f>IFERROR(__xludf.DUMMYFUNCTION("FILTER(INFY.NS!H:H,INFY.NS!A:A=A403)"),-0.018099208166256275)</f>
        <v>-0.01809920817</v>
      </c>
      <c r="C403" s="32">
        <f>IFERROR(__xludf.DUMMYFUNCTION("FILTER(IRCTC.NS!H:H,IRCTC.NS!A:A=A403)"),-0.0014125778326895743)</f>
        <v>-0.001412577833</v>
      </c>
      <c r="D403" s="32">
        <f>IFERROR(__xludf.DUMMYFUNCTION("FILTER(TATAELXSI.NS!H:H,TATAELXSI.NS!A:A=A403)"),-0.014878892094349264)</f>
        <v>-0.01487889209</v>
      </c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1">
        <f>IFERROR(__xludf.DUMMYFUNCTION("""COMPUTED_VALUE"""),44935.0)</f>
        <v>44935</v>
      </c>
      <c r="B404" s="32">
        <f>IFERROR(__xludf.DUMMYFUNCTION("FILTER(INFY.NS!H:H,INFY.NS!A:A=A404)"),0.024818744218156753)</f>
        <v>0.02481874422</v>
      </c>
      <c r="C404" s="32">
        <f>IFERROR(__xludf.DUMMYFUNCTION("FILTER(IRCTC.NS!H:H,IRCTC.NS!A:A=A404)"),0.005265188212180699)</f>
        <v>0.005265188212</v>
      </c>
      <c r="D404" s="32">
        <f>IFERROR(__xludf.DUMMYFUNCTION("FILTER(TATAELXSI.NS!H:H,TATAELXSI.NS!A:A=A404)"),0.006151229209838769)</f>
        <v>0.00615122921</v>
      </c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1">
        <f>IFERROR(__xludf.DUMMYFUNCTION("""COMPUTED_VALUE"""),44936.0)</f>
        <v>44936</v>
      </c>
      <c r="B405" s="32">
        <f>IFERROR(__xludf.DUMMYFUNCTION("FILTER(INFY.NS!H:H,INFY.NS!A:A=A405)"),-0.0099026248679502)</f>
        <v>-0.009902624868</v>
      </c>
      <c r="C405" s="32">
        <f>IFERROR(__xludf.DUMMYFUNCTION("FILTER(IRCTC.NS!H:H,IRCTC.NS!A:A=A405)"),-0.0041431583793554655)</f>
        <v>-0.004143158379</v>
      </c>
      <c r="D405" s="32">
        <f>IFERROR(__xludf.DUMMYFUNCTION("FILTER(TATAELXSI.NS!H:H,TATAELXSI.NS!A:A=A405)"),-0.005166911906290171)</f>
        <v>-0.005166911906</v>
      </c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1">
        <f>IFERROR(__xludf.DUMMYFUNCTION("""COMPUTED_VALUE"""),44937.0)</f>
        <v>44937</v>
      </c>
      <c r="B406" s="32">
        <f>IFERROR(__xludf.DUMMYFUNCTION("FILTER(INFY.NS!H:H,INFY.NS!A:A=A406)"),0.0010205817315870045)</f>
        <v>0.001020581732</v>
      </c>
      <c r="C406" s="32">
        <f>IFERROR(__xludf.DUMMYFUNCTION("FILTER(IRCTC.NS!H:H,IRCTC.NS!A:A=A406)"),0.00596591243960913)</f>
        <v>0.00596591244</v>
      </c>
      <c r="D406" s="32">
        <f>IFERROR(__xludf.DUMMYFUNCTION("FILTER(TATAELXSI.NS!H:H,TATAELXSI.NS!A:A=A406)"),0.0027420240224998687)</f>
        <v>0.002742024022</v>
      </c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1">
        <f>IFERROR(__xludf.DUMMYFUNCTION("""COMPUTED_VALUE"""),44938.0)</f>
        <v>44938</v>
      </c>
      <c r="B407" s="32">
        <f>IFERROR(__xludf.DUMMYFUNCTION("FILTER(INFY.NS!H:H,INFY.NS!A:A=A407)"),0.006355123874256564)</f>
        <v>0.006355123874</v>
      </c>
      <c r="C407" s="32">
        <f>IFERROR(__xludf.DUMMYFUNCTION("FILTER(IRCTC.NS!H:H,IRCTC.NS!A:A=A407)"),-1.560296527506354E-4)</f>
        <v>-0.0001560296528</v>
      </c>
      <c r="D407" s="32">
        <f>IFERROR(__xludf.DUMMYFUNCTION("FILTER(TATAELXSI.NS!H:H,TATAELXSI.NS!A:A=A407)"),-0.0032412018453278056)</f>
        <v>-0.003241201845</v>
      </c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1">
        <f>IFERROR(__xludf.DUMMYFUNCTION("""COMPUTED_VALUE"""),44939.0)</f>
        <v>44939</v>
      </c>
      <c r="B408" s="32">
        <f>IFERROR(__xludf.DUMMYFUNCTION("FILTER(INFY.NS!H:H,INFY.NS!A:A=A408)"),0.015568045639357798)</f>
        <v>0.01556804564</v>
      </c>
      <c r="C408" s="32">
        <f>IFERROR(__xludf.DUMMYFUNCTION("FILTER(IRCTC.NS!H:H,IRCTC.NS!A:A=A408)"),0.0013267399799550615)</f>
        <v>0.00132673998</v>
      </c>
      <c r="D408" s="32">
        <f>IFERROR(__xludf.DUMMYFUNCTION("FILTER(TATAELXSI.NS!H:H,TATAELXSI.NS!A:A=A408)"),0.007358830774880832)</f>
        <v>0.007358830775</v>
      </c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1">
        <f>IFERROR(__xludf.DUMMYFUNCTION("""COMPUTED_VALUE"""),44942.0)</f>
        <v>44942</v>
      </c>
      <c r="B409" s="32">
        <f>IFERROR(__xludf.DUMMYFUNCTION("FILTER(INFY.NS!H:H,INFY.NS!A:A=A409)"),0.01453129095949788)</f>
        <v>0.01453129096</v>
      </c>
      <c r="C409" s="32">
        <f>IFERROR(__xludf.DUMMYFUNCTION("FILTER(IRCTC.NS!H:H,IRCTC.NS!A:A=A409)"),-0.0022603460639127283)</f>
        <v>-0.002260346064</v>
      </c>
      <c r="D409" s="32">
        <f>IFERROR(__xludf.DUMMYFUNCTION("FILTER(TATAELXSI.NS!H:H,TATAELXSI.NS!A:A=A409)"),0.0016981213504745707)</f>
        <v>0.00169812135</v>
      </c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1">
        <f>IFERROR(__xludf.DUMMYFUNCTION("""COMPUTED_VALUE"""),44943.0)</f>
        <v>44943</v>
      </c>
      <c r="B410" s="32">
        <f>IFERROR(__xludf.DUMMYFUNCTION("FILTER(INFY.NS!H:H,INFY.NS!A:A=A410)"),0.009177318911832186)</f>
        <v>0.009177318912</v>
      </c>
      <c r="C410" s="32">
        <f>IFERROR(__xludf.DUMMYFUNCTION("FILTER(IRCTC.NS!H:H,IRCTC.NS!A:A=A410)"),0.001718672010974314)</f>
        <v>0.001718672011</v>
      </c>
      <c r="D410" s="32">
        <f>IFERROR(__xludf.DUMMYFUNCTION("FILTER(TATAELXSI.NS!H:H,TATAELXSI.NS!A:A=A410)"),3.0384576156844103E-4)</f>
        <v>0.0003038457616</v>
      </c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1">
        <f>IFERROR(__xludf.DUMMYFUNCTION("""COMPUTED_VALUE"""),44944.0)</f>
        <v>44944</v>
      </c>
      <c r="B411" s="32">
        <f>IFERROR(__xludf.DUMMYFUNCTION("FILTER(INFY.NS!H:H,INFY.NS!A:A=A411)"),0.003832428710620351)</f>
        <v>0.003832428711</v>
      </c>
      <c r="C411" s="32">
        <f>IFERROR(__xludf.DUMMYFUNCTION("FILTER(IRCTC.NS!H:H,IRCTC.NS!A:A=A411)"),-0.0015596973603170293)</f>
        <v>-0.00155969736</v>
      </c>
      <c r="D411" s="32">
        <f>IFERROR(__xludf.DUMMYFUNCTION("FILTER(TATAELXSI.NS!H:H,TATAELXSI.NS!A:A=A411)"),0.001302994044526178)</f>
        <v>0.001302994045</v>
      </c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1">
        <f>IFERROR(__xludf.DUMMYFUNCTION("""COMPUTED_VALUE"""),44945.0)</f>
        <v>44945</v>
      </c>
      <c r="B412" s="32">
        <f>IFERROR(__xludf.DUMMYFUNCTION("FILTER(INFY.NS!H:H,INFY.NS!A:A=A412)"),-0.004206030735767609)</f>
        <v>-0.004206030736</v>
      </c>
      <c r="C412" s="32">
        <f>IFERROR(__xludf.DUMMYFUNCTION("FILTER(IRCTC.NS!H:H,IRCTC.NS!A:A=A412)"),2.3426383562855956E-4)</f>
        <v>0.0002342638356</v>
      </c>
      <c r="D412" s="32">
        <f>IFERROR(__xludf.DUMMYFUNCTION("FILTER(TATAELXSI.NS!H:H,TATAELXSI.NS!A:A=A412)"),0.006187229655007825)</f>
        <v>0.006187229655</v>
      </c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1">
        <f>IFERROR(__xludf.DUMMYFUNCTION("""COMPUTED_VALUE"""),44946.0)</f>
        <v>44946</v>
      </c>
      <c r="B413" s="32">
        <f>IFERROR(__xludf.DUMMYFUNCTION("FILTER(INFY.NS!H:H,INFY.NS!A:A=A413)"),-0.008675011236467488)</f>
        <v>-0.008675011236</v>
      </c>
      <c r="C413" s="32">
        <f>IFERROR(__xludf.DUMMYFUNCTION("FILTER(IRCTC.NS!H:H,IRCTC.NS!A:A=A413)"),0.0017960706255706355)</f>
        <v>0.001796070626</v>
      </c>
      <c r="D413" s="32">
        <f>IFERROR(__xludf.DUMMYFUNCTION("FILTER(TATAELXSI.NS!H:H,TATAELXSI.NS!A:A=A413)"),0.012163465789439144)</f>
        <v>0.01216346579</v>
      </c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1">
        <f>IFERROR(__xludf.DUMMYFUNCTION("""COMPUTED_VALUE"""),44949.0)</f>
        <v>44949</v>
      </c>
      <c r="B414" s="32">
        <f>IFERROR(__xludf.DUMMYFUNCTION("FILTER(INFY.NS!H:H,INFY.NS!A:A=A414)"),0.014715971471874048)</f>
        <v>0.01471597147</v>
      </c>
      <c r="C414" s="32">
        <f>IFERROR(__xludf.DUMMYFUNCTION("FILTER(IRCTC.NS!H:H,IRCTC.NS!A:A=A414)"),0.002104569295728643)</f>
        <v>0.002104569296</v>
      </c>
      <c r="D414" s="32">
        <f>IFERROR(__xludf.DUMMYFUNCTION("FILTER(TATAELXSI.NS!H:H,TATAELXSI.NS!A:A=A414)"),0.043452079468378126)</f>
        <v>0.04345207947</v>
      </c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1">
        <f>IFERROR(__xludf.DUMMYFUNCTION("""COMPUTED_VALUE"""),44950.0)</f>
        <v>44950</v>
      </c>
      <c r="B415" s="32">
        <f>IFERROR(__xludf.DUMMYFUNCTION("FILTER(INFY.NS!H:H,INFY.NS!A:A=A415)"),0.002519395348837229)</f>
        <v>0.002519395349</v>
      </c>
      <c r="C415" s="32">
        <f>IFERROR(__xludf.DUMMYFUNCTION("FILTER(IRCTC.NS!H:H,IRCTC.NS!A:A=A415)"),6.223148840507295E-4)</f>
        <v>0.0006223148841</v>
      </c>
      <c r="D415" s="32">
        <f>IFERROR(__xludf.DUMMYFUNCTION("FILTER(TATAELXSI.NS!H:H,TATAELXSI.NS!A:A=A415)"),0.006520956769025831)</f>
        <v>0.006520956769</v>
      </c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1">
        <f>IFERROR(__xludf.DUMMYFUNCTION("""COMPUTED_VALUE"""),44951.0)</f>
        <v>44951</v>
      </c>
      <c r="B416" s="32">
        <f>IFERROR(__xludf.DUMMYFUNCTION("FILTER(INFY.NS!H:H,INFY.NS!A:A=A416)"),-0.0057349209758115385)</f>
        <v>-0.005734920976</v>
      </c>
      <c r="C416" s="32">
        <f>IFERROR(__xludf.DUMMYFUNCTION("FILTER(IRCTC.NS!H:H,IRCTC.NS!A:A=A416)"),-0.024331504521178444)</f>
        <v>-0.02433150452</v>
      </c>
      <c r="D416" s="32">
        <f>IFERROR(__xludf.DUMMYFUNCTION("FILTER(TATAELXSI.NS!H:H,TATAELXSI.NS!A:A=A416)"),-0.015174231623774953)</f>
        <v>-0.01517423162</v>
      </c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1">
        <f>IFERROR(__xludf.DUMMYFUNCTION("""COMPUTED_VALUE"""),44953.0)</f>
        <v>44953</v>
      </c>
      <c r="B417" s="32">
        <f>IFERROR(__xludf.DUMMYFUNCTION("FILTER(INFY.NS!H:H,INFY.NS!A:A=A417)"),-0.015456886584575483)</f>
        <v>-0.01545688658</v>
      </c>
      <c r="C417" s="32">
        <f>IFERROR(__xludf.DUMMYFUNCTION("FILTER(IRCTC.NS!H:H,IRCTC.NS!A:A=A417)"),-0.025017946458792722)</f>
        <v>-0.02501794646</v>
      </c>
      <c r="D417" s="32">
        <f>IFERROR(__xludf.DUMMYFUNCTION("FILTER(TATAELXSI.NS!H:H,TATAELXSI.NS!A:A=A417)"),0.010178545597402404)</f>
        <v>0.0101785456</v>
      </c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1">
        <f>IFERROR(__xludf.DUMMYFUNCTION("""COMPUTED_VALUE"""),44956.0)</f>
        <v>44956</v>
      </c>
      <c r="B418" s="32">
        <f>IFERROR(__xludf.DUMMYFUNCTION("FILTER(INFY.NS!H:H,INFY.NS!A:A=A418)"),0.01293488114377301)</f>
        <v>0.01293488114</v>
      </c>
      <c r="C418" s="32">
        <f>IFERROR(__xludf.DUMMYFUNCTION("FILTER(IRCTC.NS!H:H,IRCTC.NS!A:A=A418)"),0.02124703850605365)</f>
        <v>0.02124703851</v>
      </c>
      <c r="D418" s="32">
        <f>IFERROR(__xludf.DUMMYFUNCTION("FILTER(TATAELXSI.NS!H:H,TATAELXSI.NS!A:A=A418)"),-0.012934523956937501)</f>
        <v>-0.01293452396</v>
      </c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1">
        <f>IFERROR(__xludf.DUMMYFUNCTION("""COMPUTED_VALUE"""),44957.0)</f>
        <v>44957</v>
      </c>
      <c r="B419" s="32">
        <f>IFERROR(__xludf.DUMMYFUNCTION("FILTER(INFY.NS!H:H,INFY.NS!A:A=A419)"),-0.003281809747329911)</f>
        <v>-0.003281809747</v>
      </c>
      <c r="C419" s="32">
        <f>IFERROR(__xludf.DUMMYFUNCTION("FILTER(IRCTC.NS!H:H,IRCTC.NS!A:A=A419)"),0.01880451380540663)</f>
        <v>0.01880451381</v>
      </c>
      <c r="D419" s="32">
        <f>IFERROR(__xludf.DUMMYFUNCTION("FILTER(TATAELXSI.NS!H:H,TATAELXSI.NS!A:A=A419)"),0.008292649728674462)</f>
        <v>0.008292649729</v>
      </c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1">
        <f>IFERROR(__xludf.DUMMYFUNCTION("""COMPUTED_VALUE"""),44958.0)</f>
        <v>44958</v>
      </c>
      <c r="B420" s="32">
        <f>IFERROR(__xludf.DUMMYFUNCTION("FILTER(INFY.NS!H:H,INFY.NS!A:A=A420)"),0.011312127791361024)</f>
        <v>0.01131212779</v>
      </c>
      <c r="C420" s="32">
        <f>IFERROR(__xludf.DUMMYFUNCTION("FILTER(IRCTC.NS!H:H,IRCTC.NS!A:A=A420)"),-0.013430707386643046)</f>
        <v>-0.01343070739</v>
      </c>
      <c r="D420" s="32">
        <f>IFERROR(__xludf.DUMMYFUNCTION("FILTER(TATAELXSI.NS!H:H,TATAELXSI.NS!A:A=A420)"),-0.00535985224038914)</f>
        <v>-0.00535985224</v>
      </c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1">
        <f>IFERROR(__xludf.DUMMYFUNCTION("""COMPUTED_VALUE"""),44959.0)</f>
        <v>44959</v>
      </c>
      <c r="B421" s="32">
        <f>IFERROR(__xludf.DUMMYFUNCTION("FILTER(INFY.NS!H:H,INFY.NS!A:A=A421)"),0.021049593517626378)</f>
        <v>0.02104959352</v>
      </c>
      <c r="C421" s="32">
        <f>IFERROR(__xludf.DUMMYFUNCTION("FILTER(IRCTC.NS!H:H,IRCTC.NS!A:A=A421)"),0.0034233326026272136)</f>
        <v>0.003423332603</v>
      </c>
      <c r="D421" s="32">
        <f>IFERROR(__xludf.DUMMYFUNCTION("FILTER(TATAELXSI.NS!H:H,TATAELXSI.NS!A:A=A421)"),-0.0013490525654573963)</f>
        <v>-0.001349052565</v>
      </c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1">
        <f>IFERROR(__xludf.DUMMYFUNCTION("""COMPUTED_VALUE"""),44960.0)</f>
        <v>44960</v>
      </c>
      <c r="B422" s="32">
        <f>IFERROR(__xludf.DUMMYFUNCTION("FILTER(INFY.NS!H:H,INFY.NS!A:A=A422)"),0.009881625256511463)</f>
        <v>0.009881625257</v>
      </c>
      <c r="C422" s="32">
        <f>IFERROR(__xludf.DUMMYFUNCTION("FILTER(IRCTC.NS!H:H,IRCTC.NS!A:A=A422)"),-0.004363693982284468)</f>
        <v>-0.004363693982</v>
      </c>
      <c r="D422" s="32">
        <f>IFERROR(__xludf.DUMMYFUNCTION("FILTER(TATAELXSI.NS!H:H,TATAELXSI.NS!A:A=A422)"),-0.0025955447956589215)</f>
        <v>-0.002595544796</v>
      </c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1">
        <f>IFERROR(__xludf.DUMMYFUNCTION("""COMPUTED_VALUE"""),44963.0)</f>
        <v>44963</v>
      </c>
      <c r="B423" s="32">
        <f>IFERROR(__xludf.DUMMYFUNCTION("FILTER(INFY.NS!H:H,INFY.NS!A:A=A423)"),-0.018475708113406944)</f>
        <v>-0.01847570811</v>
      </c>
      <c r="C423" s="32">
        <f>IFERROR(__xludf.DUMMYFUNCTION("FILTER(IRCTC.NS!H:H,IRCTC.NS!A:A=A423)"),0.011793710827118374)</f>
        <v>0.01179371083</v>
      </c>
      <c r="D423" s="32">
        <f>IFERROR(__xludf.DUMMYFUNCTION("FILTER(TATAELXSI.NS!H:H,TATAELXSI.NS!A:A=A423)"),0.01492132951801291)</f>
        <v>0.01492132952</v>
      </c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1">
        <f>IFERROR(__xludf.DUMMYFUNCTION("""COMPUTED_VALUE"""),44964.0)</f>
        <v>44964</v>
      </c>
      <c r="B424" s="32">
        <f>IFERROR(__xludf.DUMMYFUNCTION("FILTER(INFY.NS!H:H,INFY.NS!A:A=A424)"),-0.004745645834885778)</f>
        <v>-0.004745645835</v>
      </c>
      <c r="C424" s="32">
        <f>IFERROR(__xludf.DUMMYFUNCTION("FILTER(IRCTC.NS!H:H,IRCTC.NS!A:A=A424)"),0.0025203371827804016)</f>
        <v>0.002520337183</v>
      </c>
      <c r="D424" s="32">
        <f>IFERROR(__xludf.DUMMYFUNCTION("FILTER(TATAELXSI.NS!H:H,TATAELXSI.NS!A:A=A424)"),0.003493643063446778)</f>
        <v>0.003493643063</v>
      </c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1">
        <f>IFERROR(__xludf.DUMMYFUNCTION("""COMPUTED_VALUE"""),44965.0)</f>
        <v>44965</v>
      </c>
      <c r="B425" s="32">
        <f>IFERROR(__xludf.DUMMYFUNCTION("FILTER(INFY.NS!H:H,INFY.NS!A:A=A425)"),0.017985135412414695)</f>
        <v>0.01798513541</v>
      </c>
      <c r="C425" s="32">
        <f>IFERROR(__xludf.DUMMYFUNCTION("FILTER(IRCTC.NS!H:H,IRCTC.NS!A:A=A425)"),0.007620356522202359)</f>
        <v>0.007620356522</v>
      </c>
      <c r="D425" s="32">
        <f>IFERROR(__xludf.DUMMYFUNCTION("FILTER(TATAELXSI.NS!H:H,TATAELXSI.NS!A:A=A425)"),7.994169592827627E-4)</f>
        <v>0.0007994169593</v>
      </c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1">
        <f>IFERROR(__xludf.DUMMYFUNCTION("""COMPUTED_VALUE"""),44966.0)</f>
        <v>44966</v>
      </c>
      <c r="B426" s="32">
        <f>IFERROR(__xludf.DUMMYFUNCTION("FILTER(INFY.NS!H:H,INFY.NS!A:A=A426)"),0.016661427224143353)</f>
        <v>0.01666142722</v>
      </c>
      <c r="C426" s="32">
        <f>IFERROR(__xludf.DUMMYFUNCTION("FILTER(IRCTC.NS!H:H,IRCTC.NS!A:A=A426)"),0.01582726366743676)</f>
        <v>0.01582726367</v>
      </c>
      <c r="D426" s="32">
        <f>IFERROR(__xludf.DUMMYFUNCTION("FILTER(TATAELXSI.NS!H:H,TATAELXSI.NS!A:A=A426)"),-0.0018961600833366065)</f>
        <v>-0.001896160083</v>
      </c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1">
        <f>IFERROR(__xludf.DUMMYFUNCTION("""COMPUTED_VALUE"""),44967.0)</f>
        <v>44967</v>
      </c>
      <c r="B427" s="32">
        <f>IFERROR(__xludf.DUMMYFUNCTION("FILTER(INFY.NS!H:H,INFY.NS!A:A=A427)"),-0.0052256963512678145)</f>
        <v>-0.005225696351</v>
      </c>
      <c r="C427" s="32">
        <f>IFERROR(__xludf.DUMMYFUNCTION("FILTER(IRCTC.NS!H:H,IRCTC.NS!A:A=A427)"),-0.011205753113102996)</f>
        <v>-0.01120575311</v>
      </c>
      <c r="D427" s="32">
        <f>IFERROR(__xludf.DUMMYFUNCTION("FILTER(TATAELXSI.NS!H:H,TATAELXSI.NS!A:A=A427)"),-2.243779155275552E-4)</f>
        <v>-0.0002243779155</v>
      </c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1">
        <f>IFERROR(__xludf.DUMMYFUNCTION("""COMPUTED_VALUE"""),44970.0)</f>
        <v>44970</v>
      </c>
      <c r="B428" s="32">
        <f>IFERROR(__xludf.DUMMYFUNCTION("FILTER(INFY.NS!H:H,INFY.NS!A:A=A428)"),-0.02555102219265786)</f>
        <v>-0.02555102219</v>
      </c>
      <c r="C428" s="32">
        <f>IFERROR(__xludf.DUMMYFUNCTION("FILTER(IRCTC.NS!H:H,IRCTC.NS!A:A=A428)"),-0.006287429712181553)</f>
        <v>-0.006287429712</v>
      </c>
      <c r="D428" s="32">
        <f>IFERROR(__xludf.DUMMYFUNCTION("FILTER(TATAELXSI.NS!H:H,TATAELXSI.NS!A:A=A428)"),-0.016712381503791063)</f>
        <v>-0.0167123815</v>
      </c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1">
        <f>IFERROR(__xludf.DUMMYFUNCTION("""COMPUTED_VALUE"""),44971.0)</f>
        <v>44971</v>
      </c>
      <c r="B429" s="32">
        <f>IFERROR(__xludf.DUMMYFUNCTION("FILTER(INFY.NS!H:H,INFY.NS!A:A=A429)"),0.016459886954310762)</f>
        <v>0.01645988695</v>
      </c>
      <c r="C429" s="32">
        <f>IFERROR(__xludf.DUMMYFUNCTION("FILTER(IRCTC.NS!H:H,IRCTC.NS!A:A=A429)"),0.003046417861449842)</f>
        <v>0.003046417861</v>
      </c>
      <c r="D429" s="32">
        <f>IFERROR(__xludf.DUMMYFUNCTION("FILTER(TATAELXSI.NS!H:H,TATAELXSI.NS!A:A=A429)"),0.0037811622520975757)</f>
        <v>0.003781162252</v>
      </c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1">
        <f>IFERROR(__xludf.DUMMYFUNCTION("""COMPUTED_VALUE"""),44972.0)</f>
        <v>44972</v>
      </c>
      <c r="B430" s="32">
        <f>IFERROR(__xludf.DUMMYFUNCTION("FILTER(INFY.NS!H:H,INFY.NS!A:A=A430)"),0.002385092734975644)</f>
        <v>0.002385092735</v>
      </c>
      <c r="C430" s="32">
        <f>IFERROR(__xludf.DUMMYFUNCTION("FILTER(IRCTC.NS!H:H,IRCTC.NS!A:A=A430)"),0.008099076547292163)</f>
        <v>0.008099076547</v>
      </c>
      <c r="D430" s="32">
        <f>IFERROR(__xludf.DUMMYFUNCTION("FILTER(TATAELXSI.NS!H:H,TATAELXSI.NS!A:A=A430)"),0.008056996054316477)</f>
        <v>0.008056996054</v>
      </c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1">
        <f>IFERROR(__xludf.DUMMYFUNCTION("""COMPUTED_VALUE"""),44973.0)</f>
        <v>44973</v>
      </c>
      <c r="B431" s="32">
        <f>IFERROR(__xludf.DUMMYFUNCTION("FILTER(INFY.NS!H:H,INFY.NS!A:A=A431)"),0.0029742336522103575)</f>
        <v>0.002974233652</v>
      </c>
      <c r="C431" s="32">
        <f>IFERROR(__xludf.DUMMYFUNCTION("FILTER(IRCTC.NS!H:H,IRCTC.NS!A:A=A431)"),0.003089996137504828)</f>
        <v>0.003089996138</v>
      </c>
      <c r="D431" s="32">
        <f>IFERROR(__xludf.DUMMYFUNCTION("FILTER(TATAELXSI.NS!H:H,TATAELXSI.NS!A:A=A431)"),0.0058346008409465465)</f>
        <v>0.005834600841</v>
      </c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1">
        <f>IFERROR(__xludf.DUMMYFUNCTION("""COMPUTED_VALUE"""),44974.0)</f>
        <v>44974</v>
      </c>
      <c r="B432" s="32">
        <f>IFERROR(__xludf.DUMMYFUNCTION("FILTER(INFY.NS!H:H,INFY.NS!A:A=A432)"),-0.011237357628523834)</f>
        <v>-0.01123735763</v>
      </c>
      <c r="C432" s="32">
        <f>IFERROR(__xludf.DUMMYFUNCTION("FILTER(IRCTC.NS!H:H,IRCTC.NS!A:A=A432)"),0.001001192144782488)</f>
        <v>0.001001192145</v>
      </c>
      <c r="D432" s="32">
        <f>IFERROR(__xludf.DUMMYFUNCTION("FILTER(TATAELXSI.NS!H:H,TATAELXSI.NS!A:A=A432)"),-0.0038647128387217177)</f>
        <v>-0.003864712839</v>
      </c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1">
        <f>IFERROR(__xludf.DUMMYFUNCTION("""COMPUTED_VALUE"""),44977.0)</f>
        <v>44977</v>
      </c>
      <c r="B433" s="32">
        <f>IFERROR(__xludf.DUMMYFUNCTION("FILTER(INFY.NS!H:H,INFY.NS!A:A=A433)"),0.005461486129806346)</f>
        <v>0.00546148613</v>
      </c>
      <c r="C433" s="32">
        <f>IFERROR(__xludf.DUMMYFUNCTION("FILTER(IRCTC.NS!H:H,IRCTC.NS!A:A=A433)"),-0.01238659440332635)</f>
        <v>-0.0123865944</v>
      </c>
      <c r="D433" s="32">
        <f>IFERROR(__xludf.DUMMYFUNCTION("FILTER(TATAELXSI.NS!H:H,TATAELXSI.NS!A:A=A433)"),6.003392004732536E-4)</f>
        <v>0.0006003392005</v>
      </c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1">
        <f>IFERROR(__xludf.DUMMYFUNCTION("""COMPUTED_VALUE"""),44978.0)</f>
        <v>44978</v>
      </c>
      <c r="B434" s="32">
        <f>IFERROR(__xludf.DUMMYFUNCTION("FILTER(INFY.NS!H:H,INFY.NS!A:A=A434)"),-0.008132092937594655)</f>
        <v>-0.008132092938</v>
      </c>
      <c r="C434" s="32">
        <f>IFERROR(__xludf.DUMMYFUNCTION("FILTER(IRCTC.NS!H:H,IRCTC.NS!A:A=A434)"),0.0010906162283630205)</f>
        <v>0.001090616228</v>
      </c>
      <c r="D434" s="32">
        <f>IFERROR(__xludf.DUMMYFUNCTION("FILTER(TATAELXSI.NS!H:H,TATAELXSI.NS!A:A=A434)"),-7.724582753155172E-4)</f>
        <v>-0.0007724582753</v>
      </c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1">
        <f>IFERROR(__xludf.DUMMYFUNCTION("""COMPUTED_VALUE"""),44979.0)</f>
        <v>44979</v>
      </c>
      <c r="B435" s="32">
        <f>IFERROR(__xludf.DUMMYFUNCTION("FILTER(INFY.NS!H:H,INFY.NS!A:A=A435)"),-0.011206046850269108)</f>
        <v>-0.01120604685</v>
      </c>
      <c r="C435" s="32">
        <f>IFERROR(__xludf.DUMMYFUNCTION("FILTER(IRCTC.NS!H:H,IRCTC.NS!A:A=A435)"),-0.03618395523182237)</f>
        <v>-0.03618395523</v>
      </c>
      <c r="D435" s="32">
        <f>IFERROR(__xludf.DUMMYFUNCTION("FILTER(TATAELXSI.NS!H:H,TATAELXSI.NS!A:A=A435)"),-0.021585890344128743)</f>
        <v>-0.02158589034</v>
      </c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1">
        <f>IFERROR(__xludf.DUMMYFUNCTION("""COMPUTED_VALUE"""),44980.0)</f>
        <v>44980</v>
      </c>
      <c r="B436" s="32">
        <f>IFERROR(__xludf.DUMMYFUNCTION("FILTER(INFY.NS!H:H,INFY.NS!A:A=A436)"),-0.007107246543568196)</f>
        <v>-0.007107246544</v>
      </c>
      <c r="C436" s="32">
        <f>IFERROR(__xludf.DUMMYFUNCTION("FILTER(IRCTC.NS!H:H,IRCTC.NS!A:A=A436)"),-0.027450347698052917)</f>
        <v>-0.0274503477</v>
      </c>
      <c r="D436" s="32">
        <f>IFERROR(__xludf.DUMMYFUNCTION("FILTER(TATAELXSI.NS!H:H,TATAELXSI.NS!A:A=A436)"),-0.005132011445202573)</f>
        <v>-0.005132011445</v>
      </c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1">
        <f>IFERROR(__xludf.DUMMYFUNCTION("""COMPUTED_VALUE"""),44981.0)</f>
        <v>44981</v>
      </c>
      <c r="B437" s="32">
        <f>IFERROR(__xludf.DUMMYFUNCTION("FILTER(INFY.NS!H:H,INFY.NS!A:A=A437)"),-3.219642843725423E-5)</f>
        <v>-0.00003219642844</v>
      </c>
      <c r="C437" s="32">
        <f>IFERROR(__xludf.DUMMYFUNCTION("FILTER(IRCTC.NS!H:H,IRCTC.NS!A:A=A437)"),0.009214657331190226)</f>
        <v>0.009214657331</v>
      </c>
      <c r="D437" s="32">
        <f>IFERROR(__xludf.DUMMYFUNCTION("FILTER(TATAELXSI.NS!H:H,TATAELXSI.NS!A:A=A437)"),0.004371979026910307)</f>
        <v>0.004371979027</v>
      </c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1">
        <f>IFERROR(__xludf.DUMMYFUNCTION("""COMPUTED_VALUE"""),44984.0)</f>
        <v>44984</v>
      </c>
      <c r="B438" s="32">
        <f>IFERROR(__xludf.DUMMYFUNCTION("FILTER(INFY.NS!H:H,INFY.NS!A:A=A438)"),-0.026666220204437364)</f>
        <v>-0.0266662202</v>
      </c>
      <c r="C438" s="32">
        <f>IFERROR(__xludf.DUMMYFUNCTION("FILTER(IRCTC.NS!H:H,IRCTC.NS!A:A=A438)"),-0.01316114224869197)</f>
        <v>-0.01316114225</v>
      </c>
      <c r="D438" s="32">
        <f>IFERROR(__xludf.DUMMYFUNCTION("FILTER(TATAELXSI.NS!H:H,TATAELXSI.NS!A:A=A438)"),-0.02366857837666749)</f>
        <v>-0.02366857838</v>
      </c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1">
        <f>IFERROR(__xludf.DUMMYFUNCTION("""COMPUTED_VALUE"""),44985.0)</f>
        <v>44985</v>
      </c>
      <c r="B439" s="32">
        <f>IFERROR(__xludf.DUMMYFUNCTION("FILTER(INFY.NS!H:H,INFY.NS!A:A=A439)"),-0.014410653477690306)</f>
        <v>-0.01441065348</v>
      </c>
      <c r="C439" s="32">
        <f>IFERROR(__xludf.DUMMYFUNCTION("FILTER(IRCTC.NS!H:H,IRCTC.NS!A:A=A439)"),0.015670624949729147)</f>
        <v>0.01567062495</v>
      </c>
      <c r="D439" s="32">
        <f>IFERROR(__xludf.DUMMYFUNCTION("FILTER(TATAELXSI.NS!H:H,TATAELXSI.NS!A:A=A439)"),-0.03608444933139364)</f>
        <v>-0.03608444933</v>
      </c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1">
        <f>IFERROR(__xludf.DUMMYFUNCTION("""COMPUTED_VALUE"""),44986.0)</f>
        <v>44986</v>
      </c>
      <c r="B440" s="32">
        <f>IFERROR(__xludf.DUMMYFUNCTION("FILTER(INFY.NS!H:H,INFY.NS!A:A=A440)"),0.005714093455688496)</f>
        <v>0.005714093456</v>
      </c>
      <c r="C440" s="32">
        <f>IFERROR(__xludf.DUMMYFUNCTION("FILTER(IRCTC.NS!H:H,IRCTC.NS!A:A=A440)"),0.003446821501846483)</f>
        <v>0.003446821502</v>
      </c>
      <c r="D440" s="32">
        <f>IFERROR(__xludf.DUMMYFUNCTION("FILTER(TATAELXSI.NS!H:H,TATAELXSI.NS!A:A=A440)"),0.010662005628747381)</f>
        <v>0.01066200563</v>
      </c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1">
        <f>IFERROR(__xludf.DUMMYFUNCTION("""COMPUTED_VALUE"""),44987.0)</f>
        <v>44987</v>
      </c>
      <c r="B441" s="32">
        <f>IFERROR(__xludf.DUMMYFUNCTION("FILTER(INFY.NS!H:H,INFY.NS!A:A=A441)"),-0.015975418079077857)</f>
        <v>-0.01597541808</v>
      </c>
      <c r="C441" s="32">
        <f>IFERROR(__xludf.DUMMYFUNCTION("FILTER(IRCTC.NS!H:H,IRCTC.NS!A:A=A441)"),-0.0035167483183150636)</f>
        <v>-0.003516748318</v>
      </c>
      <c r="D441" s="32">
        <f>IFERROR(__xludf.DUMMYFUNCTION("FILTER(TATAELXSI.NS!H:H,TATAELXSI.NS!A:A=A441)"),-0.007111079376087957)</f>
        <v>-0.007111079376</v>
      </c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1">
        <f>IFERROR(__xludf.DUMMYFUNCTION("""COMPUTED_VALUE"""),44988.0)</f>
        <v>44988</v>
      </c>
      <c r="B442" s="32">
        <f>IFERROR(__xludf.DUMMYFUNCTION("FILTER(INFY.NS!H:H,INFY.NS!A:A=A442)"),0.004856858936545393)</f>
        <v>0.004856858937</v>
      </c>
      <c r="C442" s="32">
        <f>IFERROR(__xludf.DUMMYFUNCTION("FILTER(IRCTC.NS!H:H,IRCTC.NS!A:A=A442)"),0.0077971108116130505)</f>
        <v>0.007797110812</v>
      </c>
      <c r="D442" s="32">
        <f>IFERROR(__xludf.DUMMYFUNCTION("FILTER(TATAELXSI.NS!H:H,TATAELXSI.NS!A:A=A442)"),0.004211069062304861)</f>
        <v>0.004211069062</v>
      </c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1">
        <f>IFERROR(__xludf.DUMMYFUNCTION("""COMPUTED_VALUE"""),44991.0)</f>
        <v>44991</v>
      </c>
      <c r="B443" s="32">
        <f>IFERROR(__xludf.DUMMYFUNCTION("FILTER(INFY.NS!H:H,INFY.NS!A:A=A443)"),0.019029203723091415)</f>
        <v>0.01902920372</v>
      </c>
      <c r="C443" s="32">
        <f>IFERROR(__xludf.DUMMYFUNCTION("FILTER(IRCTC.NS!H:H,IRCTC.NS!A:A=A443)"),0.003013235546609892)</f>
        <v>0.003013235547</v>
      </c>
      <c r="D443" s="32">
        <f>IFERROR(__xludf.DUMMYFUNCTION("FILTER(TATAELXSI.NS!H:H,TATAELXSI.NS!A:A=A443)"),0.009908556706171214)</f>
        <v>0.009908556706</v>
      </c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1">
        <f>IFERROR(__xludf.DUMMYFUNCTION("""COMPUTED_VALUE"""),44993.0)</f>
        <v>44993</v>
      </c>
      <c r="B444" s="32">
        <f>IFERROR(__xludf.DUMMYFUNCTION("FILTER(INFY.NS!H:H,INFY.NS!A:A=A444)"),-0.009784736130188113)</f>
        <v>-0.00978473613</v>
      </c>
      <c r="C444" s="32">
        <f>IFERROR(__xludf.DUMMYFUNCTION("FILTER(IRCTC.NS!H:H,IRCTC.NS!A:A=A444)"),0.003978584033359896)</f>
        <v>0.003978584033</v>
      </c>
      <c r="D444" s="32">
        <f>IFERROR(__xludf.DUMMYFUNCTION("FILTER(TATAELXSI.NS!H:H,TATAELXSI.NS!A:A=A444)"),0.01644053363224492)</f>
        <v>0.01644053363</v>
      </c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1">
        <f>IFERROR(__xludf.DUMMYFUNCTION("""COMPUTED_VALUE"""),44994.0)</f>
        <v>44994</v>
      </c>
      <c r="B445" s="32">
        <f>IFERROR(__xludf.DUMMYFUNCTION("FILTER(INFY.NS!H:H,INFY.NS!A:A=A445)"),-0.008240053194722739)</f>
        <v>-0.008240053195</v>
      </c>
      <c r="C445" s="32">
        <f>IFERROR(__xludf.DUMMYFUNCTION("FILTER(IRCTC.NS!H:H,IRCTC.NS!A:A=A445)"),-0.005175919126566947)</f>
        <v>-0.005175919127</v>
      </c>
      <c r="D445" s="32">
        <f>IFERROR(__xludf.DUMMYFUNCTION("FILTER(TATAELXSI.NS!H:H,TATAELXSI.NS!A:A=A445)"),-0.008777386878712068)</f>
        <v>-0.008777386879</v>
      </c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1">
        <f>IFERROR(__xludf.DUMMYFUNCTION("""COMPUTED_VALUE"""),44995.0)</f>
        <v>44995</v>
      </c>
      <c r="B446" s="32">
        <f>IFERROR(__xludf.DUMMYFUNCTION("FILTER(INFY.NS!H:H,INFY.NS!A:A=A446)"),-0.005978097038993351)</f>
        <v>-0.005978097039</v>
      </c>
      <c r="C446" s="32">
        <f>IFERROR(__xludf.DUMMYFUNCTION("FILTER(IRCTC.NS!H:H,IRCTC.NS!A:A=A446)"),-0.005040201707962589)</f>
        <v>-0.005040201708</v>
      </c>
      <c r="D446" s="32">
        <f>IFERROR(__xludf.DUMMYFUNCTION("FILTER(TATAELXSI.NS!H:H,TATAELXSI.NS!A:A=A446)"),-0.005608993658058853)</f>
        <v>-0.005608993658</v>
      </c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1">
        <f>IFERROR(__xludf.DUMMYFUNCTION("""COMPUTED_VALUE"""),44998.0)</f>
        <v>44998</v>
      </c>
      <c r="B447" s="32">
        <f>IFERROR(__xludf.DUMMYFUNCTION("FILTER(INFY.NS!H:H,INFY.NS!A:A=A447)"),-0.02476984933320469)</f>
        <v>-0.02476984933</v>
      </c>
      <c r="C447" s="32">
        <f>IFERROR(__xludf.DUMMYFUNCTION("FILTER(IRCTC.NS!H:H,IRCTC.NS!A:A=A447)"),-0.016831420537663108)</f>
        <v>-0.01683142054</v>
      </c>
      <c r="D447" s="32">
        <f>IFERROR(__xludf.DUMMYFUNCTION("FILTER(TATAELXSI.NS!H:H,TATAELXSI.NS!A:A=A447)"),-0.018938059253503732)</f>
        <v>-0.01893805925</v>
      </c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1">
        <f>IFERROR(__xludf.DUMMYFUNCTION("""COMPUTED_VALUE"""),44999.0)</f>
        <v>44999</v>
      </c>
      <c r="B448" s="32">
        <f>IFERROR(__xludf.DUMMYFUNCTION("FILTER(INFY.NS!H:H,INFY.NS!A:A=A448)"),-0.01052189830152988)</f>
        <v>-0.0105218983</v>
      </c>
      <c r="C448" s="32">
        <f>IFERROR(__xludf.DUMMYFUNCTION("FILTER(IRCTC.NS!H:H,IRCTC.NS!A:A=A448)"),0.0028254831416743022)</f>
        <v>0.002825483142</v>
      </c>
      <c r="D448" s="32">
        <f>IFERROR(__xludf.DUMMYFUNCTION("FILTER(TATAELXSI.NS!H:H,TATAELXSI.NS!A:A=A448)"),-0.01116469598070195)</f>
        <v>-0.01116469598</v>
      </c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1">
        <f>IFERROR(__xludf.DUMMYFUNCTION("""COMPUTED_VALUE"""),45000.0)</f>
        <v>45000</v>
      </c>
      <c r="B449" s="32">
        <f>IFERROR(__xludf.DUMMYFUNCTION("FILTER(INFY.NS!H:H,INFY.NS!A:A=A449)"),-2.4646197183096456E-4)</f>
        <v>-0.0002464619718</v>
      </c>
      <c r="C449" s="32">
        <f>IFERROR(__xludf.DUMMYFUNCTION("FILTER(IRCTC.NS!H:H,IRCTC.NS!A:A=A449)"),0.0038121290983527956)</f>
        <v>0.003812129098</v>
      </c>
      <c r="D449" s="32">
        <f>IFERROR(__xludf.DUMMYFUNCTION("FILTER(TATAELXSI.NS!H:H,TATAELXSI.NS!A:A=A449)"),0.00421440082474221)</f>
        <v>0.004214400825</v>
      </c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1">
        <f>IFERROR(__xludf.DUMMYFUNCTION("""COMPUTED_VALUE"""),45001.0)</f>
        <v>45001</v>
      </c>
      <c r="B450" s="32">
        <f>IFERROR(__xludf.DUMMYFUNCTION("FILTER(INFY.NS!H:H,INFY.NS!A:A=A450)"),-0.010953437634006661)</f>
        <v>-0.01095343763</v>
      </c>
      <c r="C450" s="32">
        <f>IFERROR(__xludf.DUMMYFUNCTION("FILTER(IRCTC.NS!H:H,IRCTC.NS!A:A=A450)"),-0.0036324806618021617)</f>
        <v>-0.003632480662</v>
      </c>
      <c r="D450" s="32">
        <f>IFERROR(__xludf.DUMMYFUNCTION("FILTER(TATAELXSI.NS!H:H,TATAELXSI.NS!A:A=A450)"),0.00444317866417327)</f>
        <v>0.004443178664</v>
      </c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1">
        <f>IFERROR(__xludf.DUMMYFUNCTION("""COMPUTED_VALUE"""),45002.0)</f>
        <v>45002</v>
      </c>
      <c r="B451" s="32">
        <f>IFERROR(__xludf.DUMMYFUNCTION("FILTER(INFY.NS!H:H,INFY.NS!A:A=A451)"),0.011822502160629684)</f>
        <v>0.01182250216</v>
      </c>
      <c r="C451" s="32">
        <f>IFERROR(__xludf.DUMMYFUNCTION("FILTER(IRCTC.NS!H:H,IRCTC.NS!A:A=A451)"),0.013588552219632758)</f>
        <v>0.01358855222</v>
      </c>
      <c r="D451" s="32">
        <f>IFERROR(__xludf.DUMMYFUNCTION("FILTER(TATAELXSI.NS!H:H,TATAELXSI.NS!A:A=A451)"),0.007178934325925095)</f>
        <v>0.007178934326</v>
      </c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1">
        <f>IFERROR(__xludf.DUMMYFUNCTION("""COMPUTED_VALUE"""),45005.0)</f>
        <v>45005</v>
      </c>
      <c r="B452" s="32">
        <f>IFERROR(__xludf.DUMMYFUNCTION("FILTER(INFY.NS!H:H,INFY.NS!A:A=A452)"),-0.012001075236188295)</f>
        <v>-0.01200107524</v>
      </c>
      <c r="C452" s="32">
        <f>IFERROR(__xludf.DUMMYFUNCTION("FILTER(IRCTC.NS!H:H,IRCTC.NS!A:A=A452)"),-0.011771457071012908)</f>
        <v>-0.01177145707</v>
      </c>
      <c r="D452" s="32">
        <f>IFERROR(__xludf.DUMMYFUNCTION("FILTER(TATAELXSI.NS!H:H,TATAELXSI.NS!A:A=A452)"),-0.019654132976132433)</f>
        <v>-0.01965413298</v>
      </c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1">
        <f>IFERROR(__xludf.DUMMYFUNCTION("""COMPUTED_VALUE"""),45006.0)</f>
        <v>45006</v>
      </c>
      <c r="B453" s="32">
        <f>IFERROR(__xludf.DUMMYFUNCTION("FILTER(INFY.NS!H:H,INFY.NS!A:A=A453)"),-0.009225998488637489)</f>
        <v>-0.009225998489</v>
      </c>
      <c r="C453" s="32">
        <f>IFERROR(__xludf.DUMMYFUNCTION("FILTER(IRCTC.NS!H:H,IRCTC.NS!A:A=A453)"),0.0038050921570665546)</f>
        <v>0.003805092157</v>
      </c>
      <c r="D453" s="32">
        <f>IFERROR(__xludf.DUMMYFUNCTION("FILTER(TATAELXSI.NS!H:H,TATAELXSI.NS!A:A=A453)"),0.008570789478000985)</f>
        <v>0.008570789478</v>
      </c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1">
        <f>IFERROR(__xludf.DUMMYFUNCTION("""COMPUTED_VALUE"""),45007.0)</f>
        <v>45007</v>
      </c>
      <c r="B454" s="32">
        <f>IFERROR(__xludf.DUMMYFUNCTION("FILTER(INFY.NS!H:H,INFY.NS!A:A=A454)"),-0.0010426051996028692)</f>
        <v>-0.0010426052</v>
      </c>
      <c r="C454" s="32">
        <f>IFERROR(__xludf.DUMMYFUNCTION("FILTER(IRCTC.NS!H:H,IRCTC.NS!A:A=A454)"),-0.003296250515039143)</f>
        <v>-0.003296250515</v>
      </c>
      <c r="D454" s="32">
        <f>IFERROR(__xludf.DUMMYFUNCTION("FILTER(TATAELXSI.NS!H:H,TATAELXSI.NS!A:A=A454)"),-0.005632509302865646)</f>
        <v>-0.005632509303</v>
      </c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1">
        <f>IFERROR(__xludf.DUMMYFUNCTION("""COMPUTED_VALUE"""),45008.0)</f>
        <v>45008</v>
      </c>
      <c r="B455" s="32">
        <f>IFERROR(__xludf.DUMMYFUNCTION("FILTER(INFY.NS!H:H,INFY.NS!A:A=A455)"),-0.01058121360446288)</f>
        <v>-0.0105812136</v>
      </c>
      <c r="C455" s="32">
        <f>IFERROR(__xludf.DUMMYFUNCTION("FILTER(IRCTC.NS!H:H,IRCTC.NS!A:A=A455)"),6.614700289376277E-4)</f>
        <v>0.0006614700289</v>
      </c>
      <c r="D455" s="32">
        <f>IFERROR(__xludf.DUMMYFUNCTION("FILTER(TATAELXSI.NS!H:H,TATAELXSI.NS!A:A=A455)"),-0.002402781688323286)</f>
        <v>-0.002402781688</v>
      </c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1">
        <f>IFERROR(__xludf.DUMMYFUNCTION("""COMPUTED_VALUE"""),45009.0)</f>
        <v>45009</v>
      </c>
      <c r="B456" s="32">
        <f>IFERROR(__xludf.DUMMYFUNCTION("FILTER(INFY.NS!H:H,INFY.NS!A:A=A456)"),0.00443779766654396)</f>
        <v>0.004437797667</v>
      </c>
      <c r="C456" s="32">
        <f>IFERROR(__xludf.DUMMYFUNCTION("FILTER(IRCTC.NS!H:H,IRCTC.NS!A:A=A456)"),-0.008427721718143806)</f>
        <v>-0.008427721718</v>
      </c>
      <c r="D456" s="32">
        <f>IFERROR(__xludf.DUMMYFUNCTION("FILTER(TATAELXSI.NS!H:H,TATAELXSI.NS!A:A=A456)"),-0.006646399488259499)</f>
        <v>-0.006646399488</v>
      </c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1">
        <f>IFERROR(__xludf.DUMMYFUNCTION("""COMPUTED_VALUE"""),45012.0)</f>
        <v>45012</v>
      </c>
      <c r="B457" s="32">
        <f>IFERROR(__xludf.DUMMYFUNCTION("FILTER(INFY.NS!H:H,INFY.NS!A:A=A457)"),0.006011608195937731)</f>
        <v>0.006011608196</v>
      </c>
      <c r="C457" s="32">
        <f>IFERROR(__xludf.DUMMYFUNCTION("FILTER(IRCTC.NS!H:H,IRCTC.NS!A:A=A457)"),-0.029914194415415964)</f>
        <v>-0.02991419442</v>
      </c>
      <c r="D457" s="32">
        <f>IFERROR(__xludf.DUMMYFUNCTION("FILTER(TATAELXSI.NS!H:H,TATAELXSI.NS!A:A=A457)"),-0.007382520632660975)</f>
        <v>-0.007382520633</v>
      </c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1">
        <f>IFERROR(__xludf.DUMMYFUNCTION("""COMPUTED_VALUE"""),45013.0)</f>
        <v>45013</v>
      </c>
      <c r="B458" s="32">
        <f>IFERROR(__xludf.DUMMYFUNCTION("FILTER(INFY.NS!H:H,INFY.NS!A:A=A458)"),-0.008171622736894488)</f>
        <v>-0.008171622737</v>
      </c>
      <c r="C458" s="32">
        <f>IFERROR(__xludf.DUMMYFUNCTION("FILTER(IRCTC.NS!H:H,IRCTC.NS!A:A=A458)"),-0.03762234135532752)</f>
        <v>-0.03762234136</v>
      </c>
      <c r="D458" s="32">
        <f>IFERROR(__xludf.DUMMYFUNCTION("FILTER(TATAELXSI.NS!H:H,TATAELXSI.NS!A:A=A458)"),-0.005078571032452481)</f>
        <v>-0.005078571032</v>
      </c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1">
        <f>IFERROR(__xludf.DUMMYFUNCTION("""COMPUTED_VALUE"""),45014.0)</f>
        <v>45014</v>
      </c>
      <c r="B459" s="32">
        <f>IFERROR(__xludf.DUMMYFUNCTION("FILTER(INFY.NS!H:H,INFY.NS!A:A=A459)"),0.004319158757012039)</f>
        <v>0.004319158757</v>
      </c>
      <c r="C459" s="32">
        <f>IFERROR(__xludf.DUMMYFUNCTION("FILTER(IRCTC.NS!H:H,IRCTC.NS!A:A=A459)"),0.007675808475348595)</f>
        <v>0.007675808475</v>
      </c>
      <c r="D459" s="32">
        <f>IFERROR(__xludf.DUMMYFUNCTION("FILTER(TATAELXSI.NS!H:H,TATAELXSI.NS!A:A=A459)"),0.005045417934822861)</f>
        <v>0.005045417935</v>
      </c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1">
        <f>IFERROR(__xludf.DUMMYFUNCTION("""COMPUTED_VALUE"""),45016.0)</f>
        <v>45016</v>
      </c>
      <c r="B460" s="32">
        <f>IFERROR(__xludf.DUMMYFUNCTION("FILTER(INFY.NS!H:H,INFY.NS!A:A=A460)"),0.0320912872158773)</f>
        <v>0.03209128722</v>
      </c>
      <c r="C460" s="32">
        <f>IFERROR(__xludf.DUMMYFUNCTION("FILTER(IRCTC.NS!H:H,IRCTC.NS!A:A=A460)"),0.014703255978742223)</f>
        <v>0.01470325598</v>
      </c>
      <c r="D460" s="32">
        <f>IFERROR(__xludf.DUMMYFUNCTION("FILTER(TATAELXSI.NS!H:H,TATAELXSI.NS!A:A=A460)"),5.121335616501343E-4)</f>
        <v>0.0005121335617</v>
      </c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1">
        <f>IFERROR(__xludf.DUMMYFUNCTION("""COMPUTED_VALUE"""),45019.0)</f>
        <v>45019</v>
      </c>
      <c r="B461" s="32">
        <f>IFERROR(__xludf.DUMMYFUNCTION("FILTER(INFY.NS!H:H,INFY.NS!A:A=A461)"),-0.011975192119321054)</f>
        <v>-0.01197519212</v>
      </c>
      <c r="C461" s="32">
        <f>IFERROR(__xludf.DUMMYFUNCTION("FILTER(IRCTC.NS!H:H,IRCTC.NS!A:A=A461)"),-0.004364525231100389)</f>
        <v>-0.004364525231</v>
      </c>
      <c r="D461" s="32">
        <f>IFERROR(__xludf.DUMMYFUNCTION("FILTER(TATAELXSI.NS!H:H,TATAELXSI.NS!A:A=A461)"),0.00875966272449746)</f>
        <v>0.008759662724</v>
      </c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1">
        <f>IFERROR(__xludf.DUMMYFUNCTION("""COMPUTED_VALUE"""),45021.0)</f>
        <v>45021</v>
      </c>
      <c r="B462" s="32">
        <f>IFERROR(__xludf.DUMMYFUNCTION("FILTER(INFY.NS!H:H,INFY.NS!A:A=A462)"),0.009001717557529997)</f>
        <v>0.009001717558</v>
      </c>
      <c r="C462" s="32">
        <f>IFERROR(__xludf.DUMMYFUNCTION("FILTER(IRCTC.NS!H:H,IRCTC.NS!A:A=A462)"),-0.006400077287043455)</f>
        <v>-0.006400077287</v>
      </c>
      <c r="D462" s="32">
        <f>IFERROR(__xludf.DUMMYFUNCTION("FILTER(TATAELXSI.NS!H:H,TATAELXSI.NS!A:A=A462)"),0.014622526383875924)</f>
        <v>0.01462252638</v>
      </c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1">
        <f>IFERROR(__xludf.DUMMYFUNCTION("""COMPUTED_VALUE"""),45022.0)</f>
        <v>45022</v>
      </c>
      <c r="B463" s="32">
        <f>IFERROR(__xludf.DUMMYFUNCTION("FILTER(INFY.NS!H:H,INFY.NS!A:A=A463)"),-0.0011590916674541973)</f>
        <v>-0.001159091667</v>
      </c>
      <c r="C463" s="32">
        <f>IFERROR(__xludf.DUMMYFUNCTION("FILTER(IRCTC.NS!H:H,IRCTC.NS!A:A=A463)"),0.005735462564808785)</f>
        <v>0.005735462565</v>
      </c>
      <c r="D463" s="32">
        <f>IFERROR(__xludf.DUMMYFUNCTION("FILTER(TATAELXSI.NS!H:H,TATAELXSI.NS!A:A=A463)"),-0.005090879460794652)</f>
        <v>-0.005090879461</v>
      </c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1">
        <f>IFERROR(__xludf.DUMMYFUNCTION("""COMPUTED_VALUE"""),45026.0)</f>
        <v>45026</v>
      </c>
      <c r="B464" s="32">
        <f>IFERROR(__xludf.DUMMYFUNCTION("FILTER(INFY.NS!H:H,INFY.NS!A:A=A464)"),0.004008686900479255)</f>
        <v>0.0040086869</v>
      </c>
      <c r="C464" s="32">
        <f>IFERROR(__xludf.DUMMYFUNCTION("FILTER(IRCTC.NS!H:H,IRCTC.NS!A:A=A464)"),0.020003445376236648)</f>
        <v>0.02000344538</v>
      </c>
      <c r="D464" s="32">
        <f>IFERROR(__xludf.DUMMYFUNCTION("FILTER(TATAELXSI.NS!H:H,TATAELXSI.NS!A:A=A464)"),0.021909510830670276)</f>
        <v>0.02190951083</v>
      </c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1">
        <f>IFERROR(__xludf.DUMMYFUNCTION("""COMPUTED_VALUE"""),45027.0)</f>
        <v>45027</v>
      </c>
      <c r="B465" s="32">
        <f>IFERROR(__xludf.DUMMYFUNCTION("FILTER(INFY.NS!H:H,INFY.NS!A:A=A465)"),-0.015025183777391671)</f>
        <v>-0.01502518378</v>
      </c>
      <c r="C465" s="32">
        <f>IFERROR(__xludf.DUMMYFUNCTION("FILTER(IRCTC.NS!H:H,IRCTC.NS!A:A=A465)"),0.006193077712570064)</f>
        <v>0.006193077713</v>
      </c>
      <c r="D465" s="32">
        <f>IFERROR(__xludf.DUMMYFUNCTION("FILTER(TATAELXSI.NS!H:H,TATAELXSI.NS!A:A=A465)"),0.02905931272712698)</f>
        <v>0.02905931273</v>
      </c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1">
        <f>IFERROR(__xludf.DUMMYFUNCTION("""COMPUTED_VALUE"""),45028.0)</f>
        <v>45028</v>
      </c>
      <c r="B466" s="32">
        <f>IFERROR(__xludf.DUMMYFUNCTION("FILTER(INFY.NS!H:H,INFY.NS!A:A=A466)"),0.01575224877996369)</f>
        <v>0.01575224878</v>
      </c>
      <c r="C466" s="32">
        <f>IFERROR(__xludf.DUMMYFUNCTION("FILTER(IRCTC.NS!H:H,IRCTC.NS!A:A=A466)"),-8.548469473135121E-4)</f>
        <v>-0.0008548469473</v>
      </c>
      <c r="D466" s="32">
        <f>IFERROR(__xludf.DUMMYFUNCTION("FILTER(TATAELXSI.NS!H:H,TATAELXSI.NS!A:A=A466)"),-6.816181864063511E-4)</f>
        <v>-0.0006816181864</v>
      </c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1">
        <f>IFERROR(__xludf.DUMMYFUNCTION("""COMPUTED_VALUE"""),45029.0)</f>
        <v>45029</v>
      </c>
      <c r="B467" s="32">
        <f>IFERROR(__xludf.DUMMYFUNCTION("FILTER(INFY.NS!H:H,INFY.NS!A:A=A467)"),-0.027375268962131005)</f>
        <v>-0.02737526896</v>
      </c>
      <c r="C467" s="32">
        <f>IFERROR(__xludf.DUMMYFUNCTION("FILTER(IRCTC.NS!H:H,IRCTC.NS!A:A=A467)"),0.014117042541394556)</f>
        <v>0.01411704254</v>
      </c>
      <c r="D467" s="32">
        <f>IFERROR(__xludf.DUMMYFUNCTION("FILTER(TATAELXSI.NS!H:H,TATAELXSI.NS!A:A=A467)"),-0.01465437115586573)</f>
        <v>-0.01465437116</v>
      </c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1">
        <f>IFERROR(__xludf.DUMMYFUNCTION("""COMPUTED_VALUE"""),45033.0)</f>
        <v>45033</v>
      </c>
      <c r="B468" s="32">
        <f>IFERROR(__xludf.DUMMYFUNCTION("FILTER(INFY.NS!H:H,INFY.NS!A:A=A468)"),-0.09422682595530851)</f>
        <v>-0.09422682596</v>
      </c>
      <c r="C468" s="32">
        <f>IFERROR(__xludf.DUMMYFUNCTION("FILTER(IRCTC.NS!H:H,IRCTC.NS!A:A=A468)"),0.006749345883769001)</f>
        <v>0.006749345884</v>
      </c>
      <c r="D468" s="32">
        <f>IFERROR(__xludf.DUMMYFUNCTION("FILTER(TATAELXSI.NS!H:H,TATAELXSI.NS!A:A=A468)"),9.946685764303334E-4)</f>
        <v>0.0009946685764</v>
      </c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1">
        <f>IFERROR(__xludf.DUMMYFUNCTION("""COMPUTED_VALUE"""),45034.0)</f>
        <v>45034</v>
      </c>
      <c r="B469" s="32">
        <f>IFERROR(__xludf.DUMMYFUNCTION("FILTER(INFY.NS!H:H,INFY.NS!A:A=A469)"),8.34401143697345E-4)</f>
        <v>0.0008344011437</v>
      </c>
      <c r="C469" s="32">
        <f>IFERROR(__xludf.DUMMYFUNCTION("FILTER(IRCTC.NS!H:H,IRCTC.NS!A:A=A469)"),0.011564508040646545)</f>
        <v>0.01156450804</v>
      </c>
      <c r="D469" s="32">
        <f>IFERROR(__xludf.DUMMYFUNCTION("FILTER(TATAELXSI.NS!H:H,TATAELXSI.NS!A:A=A469)"),0.012329552843912659)</f>
        <v>0.01232955284</v>
      </c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1">
        <f>IFERROR(__xludf.DUMMYFUNCTION("""COMPUTED_VALUE"""),45035.0)</f>
        <v>45035</v>
      </c>
      <c r="B470" s="32">
        <f>IFERROR(__xludf.DUMMYFUNCTION("FILTER(INFY.NS!H:H,INFY.NS!A:A=A470)"),-0.02155876088252684)</f>
        <v>-0.02155876088</v>
      </c>
      <c r="C470" s="32">
        <f>IFERROR(__xludf.DUMMYFUNCTION("FILTER(IRCTC.NS!H:H,IRCTC.NS!A:A=A470)"),0.00521916007394574)</f>
        <v>0.005219160074</v>
      </c>
      <c r="D470" s="32">
        <f>IFERROR(__xludf.DUMMYFUNCTION("FILTER(TATAELXSI.NS!H:H,TATAELXSI.NS!A:A=A470)"),-0.009438790671173572)</f>
        <v>-0.009438790671</v>
      </c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1">
        <f>IFERROR(__xludf.DUMMYFUNCTION("""COMPUTED_VALUE"""),45036.0)</f>
        <v>45036</v>
      </c>
      <c r="B471" s="32">
        <f>IFERROR(__xludf.DUMMYFUNCTION("FILTER(INFY.NS!H:H,INFY.NS!A:A=A471)"),-0.0071416388167021)</f>
        <v>-0.007141638817</v>
      </c>
      <c r="C471" s="32">
        <f>IFERROR(__xludf.DUMMYFUNCTION("FILTER(IRCTC.NS!H:H,IRCTC.NS!A:A=A471)"),-0.008158911986308012)</f>
        <v>-0.008158911986</v>
      </c>
      <c r="D471" s="32">
        <f>IFERROR(__xludf.DUMMYFUNCTION("FILTER(TATAELXSI.NS!H:H,TATAELXSI.NS!A:A=A471)"),-0.008807440906035842)</f>
        <v>-0.008807440906</v>
      </c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1">
        <f>IFERROR(__xludf.DUMMYFUNCTION("""COMPUTED_VALUE"""),45037.0)</f>
        <v>45037</v>
      </c>
      <c r="B472" s="32">
        <f>IFERROR(__xludf.DUMMYFUNCTION("FILTER(INFY.NS!H:H,INFY.NS!A:A=A472)"),0.003228667584201338)</f>
        <v>0.003228667584</v>
      </c>
      <c r="C472" s="32">
        <f>IFERROR(__xludf.DUMMYFUNCTION("FILTER(IRCTC.NS!H:H,IRCTC.NS!A:A=A472)"),0.002077274615704196)</f>
        <v>0.002077274616</v>
      </c>
      <c r="D472" s="32">
        <f>IFERROR(__xludf.DUMMYFUNCTION("FILTER(TATAELXSI.NS!H:H,TATAELXSI.NS!A:A=A472)"),0.004694776332662252)</f>
        <v>0.004694776333</v>
      </c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1">
        <f>IFERROR(__xludf.DUMMYFUNCTION("""COMPUTED_VALUE"""),45040.0)</f>
        <v>45040</v>
      </c>
      <c r="B473" s="32">
        <f>IFERROR(__xludf.DUMMYFUNCTION("FILTER(INFY.NS!H:H,INFY.NS!A:A=A473)"),-8.554422296253218E-4)</f>
        <v>-0.0008554422296</v>
      </c>
      <c r="C473" s="32">
        <f>IFERROR(__xludf.DUMMYFUNCTION("FILTER(IRCTC.NS!H:H,IRCTC.NS!A:A=A473)"),6.633897180763356E-4)</f>
        <v>0.0006633897181</v>
      </c>
      <c r="D473" s="32">
        <f>IFERROR(__xludf.DUMMYFUNCTION("FILTER(TATAELXSI.NS!H:H,TATAELXSI.NS!A:A=A473)"),-0.004465818341028443)</f>
        <v>-0.004465818341</v>
      </c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1">
        <f>IFERROR(__xludf.DUMMYFUNCTION("""COMPUTED_VALUE"""),45041.0)</f>
        <v>45041</v>
      </c>
      <c r="B474" s="32">
        <f>IFERROR(__xludf.DUMMYFUNCTION("FILTER(INFY.NS!H:H,INFY.NS!A:A=A474)"),-0.0011416659414974174)</f>
        <v>-0.001141665941</v>
      </c>
      <c r="C474" s="32">
        <f>IFERROR(__xludf.DUMMYFUNCTION("FILTER(IRCTC.NS!H:H,IRCTC.NS!A:A=A474)"),0.00745773917967229)</f>
        <v>0.00745773918</v>
      </c>
      <c r="D474" s="32">
        <f>IFERROR(__xludf.DUMMYFUNCTION("FILTER(TATAELXSI.NS!H:H,TATAELXSI.NS!A:A=A474)"),0.002918622319204319)</f>
        <v>0.002918622319</v>
      </c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1">
        <f>IFERROR(__xludf.DUMMYFUNCTION("""COMPUTED_VALUE"""),45042.0)</f>
        <v>45042</v>
      </c>
      <c r="B475" s="32">
        <f>IFERROR(__xludf.DUMMYFUNCTION("FILTER(INFY.NS!H:H,INFY.NS!A:A=A475)"),0.0021634622810652454)</f>
        <v>0.002163462281</v>
      </c>
      <c r="C475" s="32">
        <f>IFERROR(__xludf.DUMMYFUNCTION("FILTER(IRCTC.NS!H:H,IRCTC.NS!A:A=A475)"),4.934824611883628E-4)</f>
        <v>0.0004934824612</v>
      </c>
      <c r="D475" s="32">
        <f>IFERROR(__xludf.DUMMYFUNCTION("FILTER(TATAELXSI.NS!H:H,TATAELXSI.NS!A:A=A475)"),0.0031333560385564344)</f>
        <v>0.003133356039</v>
      </c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1">
        <f>IFERROR(__xludf.DUMMYFUNCTION("""COMPUTED_VALUE"""),45043.0)</f>
        <v>45043</v>
      </c>
      <c r="B476" s="32">
        <f>IFERROR(__xludf.DUMMYFUNCTION("FILTER(INFY.NS!H:H,INFY.NS!A:A=A476)"),0.015233554847913217)</f>
        <v>0.01523355485</v>
      </c>
      <c r="C476" s="32">
        <f>IFERROR(__xludf.DUMMYFUNCTION("FILTER(IRCTC.NS!H:H,IRCTC.NS!A:A=A476)"),-0.0034528706980690516)</f>
        <v>-0.003452870698</v>
      </c>
      <c r="D476" s="32">
        <f>IFERROR(__xludf.DUMMYFUNCTION("FILTER(TATAELXSI.NS!H:H,TATAELXSI.NS!A:A=A476)"),0.04567746688024809)</f>
        <v>0.04567746688</v>
      </c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1">
        <f>IFERROR(__xludf.DUMMYFUNCTION("""COMPUTED_VALUE"""),45044.0)</f>
        <v>45044</v>
      </c>
      <c r="B477" s="32">
        <f>IFERROR(__xludf.DUMMYFUNCTION("FILTER(INFY.NS!H:H,INFY.NS!A:A=A477)"),0.005215646940822468)</f>
        <v>0.005215646941</v>
      </c>
      <c r="C477" s="32">
        <f>IFERROR(__xludf.DUMMYFUNCTION("FILTER(IRCTC.NS!H:H,IRCTC.NS!A:A=A477)"),0.019303765819650875)</f>
        <v>0.01930376582</v>
      </c>
      <c r="D477" s="32">
        <f>IFERROR(__xludf.DUMMYFUNCTION("FILTER(TATAELXSI.NS!H:H,TATAELXSI.NS!A:A=A477)"),0.009941914362793201)</f>
        <v>0.009941914363</v>
      </c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1">
        <f>IFERROR(__xludf.DUMMYFUNCTION("""COMPUTED_VALUE"""),45048.0)</f>
        <v>45048</v>
      </c>
      <c r="B478" s="32">
        <f>IFERROR(__xludf.DUMMYFUNCTION("FILTER(INFY.NS!H:H,INFY.NS!A:A=A478)"),0.019716584314508127)</f>
        <v>0.01971658431</v>
      </c>
      <c r="C478" s="32">
        <f>IFERROR(__xludf.DUMMYFUNCTION("FILTER(IRCTC.NS!H:H,IRCTC.NS!A:A=A478)"),0.014810657458284105)</f>
        <v>0.01481065746</v>
      </c>
      <c r="D478" s="32">
        <f>IFERROR(__xludf.DUMMYFUNCTION("FILTER(TATAELXSI.NS!H:H,TATAELXSI.NS!A:A=A478)"),-5.269703095243241E-5)</f>
        <v>-0.00005269703095</v>
      </c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1">
        <f>IFERROR(__xludf.DUMMYFUNCTION("""COMPUTED_VALUE"""),45049.0)</f>
        <v>45049</v>
      </c>
      <c r="B479" s="32">
        <f>IFERROR(__xludf.DUMMYFUNCTION("FILTER(INFY.NS!H:H,INFY.NS!A:A=A479)"),-0.006497261981577253)</f>
        <v>-0.006497261982</v>
      </c>
      <c r="C479" s="32">
        <f>IFERROR(__xludf.DUMMYFUNCTION("FILTER(IRCTC.NS!H:H,IRCTC.NS!A:A=A479)"),0.0011962676220508628)</f>
        <v>0.001196267622</v>
      </c>
      <c r="D479" s="32">
        <f>IFERROR(__xludf.DUMMYFUNCTION("FILTER(TATAELXSI.NS!H:H,TATAELXSI.NS!A:A=A479)"),0.005298640725548542)</f>
        <v>0.005298640726</v>
      </c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1">
        <f>IFERROR(__xludf.DUMMYFUNCTION("""COMPUTED_VALUE"""),45050.0)</f>
        <v>45050</v>
      </c>
      <c r="B480" s="32">
        <f>IFERROR(__xludf.DUMMYFUNCTION("FILTER(INFY.NS!H:H,INFY.NS!A:A=A480)"),0.003466906919429656)</f>
        <v>0.003466906919</v>
      </c>
      <c r="C480" s="32">
        <f>IFERROR(__xludf.DUMMYFUNCTION("FILTER(IRCTC.NS!H:H,IRCTC.NS!A:A=A480)"),0.006213101681444534)</f>
        <v>0.006213101681</v>
      </c>
      <c r="D480" s="32">
        <f>IFERROR(__xludf.DUMMYFUNCTION("FILTER(TATAELXSI.NS!H:H,TATAELXSI.NS!A:A=A480)"),0.006416100854069377)</f>
        <v>0.006416100854</v>
      </c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1">
        <f>IFERROR(__xludf.DUMMYFUNCTION("""COMPUTED_VALUE"""),45051.0)</f>
        <v>45051</v>
      </c>
      <c r="B481" s="32">
        <f>IFERROR(__xludf.DUMMYFUNCTION("FILTER(INFY.NS!H:H,INFY.NS!A:A=A481)"),-0.01134629378040248)</f>
        <v>-0.01134629378</v>
      </c>
      <c r="C481" s="32">
        <f>IFERROR(__xludf.DUMMYFUNCTION("FILTER(IRCTC.NS!H:H,IRCTC.NS!A:A=A481)"),-0.009816263830890234)</f>
        <v>-0.009816263831</v>
      </c>
      <c r="D481" s="32">
        <f>IFERROR(__xludf.DUMMYFUNCTION("FILTER(TATAELXSI.NS!H:H,TATAELXSI.NS!A:A=A481)"),-0.009083035539433083)</f>
        <v>-0.009083035539</v>
      </c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1">
        <f>IFERROR(__xludf.DUMMYFUNCTION("""COMPUTED_VALUE"""),45054.0)</f>
        <v>45054</v>
      </c>
      <c r="B482" s="32">
        <f>IFERROR(__xludf.DUMMYFUNCTION("FILTER(INFY.NS!H:H,INFY.NS!A:A=A482)"),0.0051624176982749785)</f>
        <v>0.005162417698</v>
      </c>
      <c r="C482" s="32">
        <f>IFERROR(__xludf.DUMMYFUNCTION("FILTER(IRCTC.NS!H:H,IRCTC.NS!A:A=A482)"),0.004317160051787812)</f>
        <v>0.004317160052</v>
      </c>
      <c r="D482" s="32">
        <f>IFERROR(__xludf.DUMMYFUNCTION("FILTER(TATAELXSI.NS!H:H,TATAELXSI.NS!A:A=A482)"),0.017874675124807574)</f>
        <v>0.01787467512</v>
      </c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1">
        <f>IFERROR(__xludf.DUMMYFUNCTION("""COMPUTED_VALUE"""),45055.0)</f>
        <v>45055</v>
      </c>
      <c r="B483" s="32">
        <f>IFERROR(__xludf.DUMMYFUNCTION("FILTER(INFY.NS!H:H,INFY.NS!A:A=A483)"),0.004029689551764092)</f>
        <v>0.004029689552</v>
      </c>
      <c r="C483" s="32">
        <f>IFERROR(__xludf.DUMMYFUNCTION("FILTER(IRCTC.NS!H:H,IRCTC.NS!A:A=A483)"),-0.0087565677601618)</f>
        <v>-0.00875656776</v>
      </c>
      <c r="D483" s="32">
        <f>IFERROR(__xludf.DUMMYFUNCTION("FILTER(TATAELXSI.NS!H:H,TATAELXSI.NS!A:A=A483)"),0.03136760375211061)</f>
        <v>0.03136760375</v>
      </c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1">
        <f>IFERROR(__xludf.DUMMYFUNCTION("""COMPUTED_VALUE"""),45056.0)</f>
        <v>45056</v>
      </c>
      <c r="B484" s="32">
        <f>IFERROR(__xludf.DUMMYFUNCTION("FILTER(INFY.NS!H:H,INFY.NS!A:A=A484)"),-0.005862871871630422)</f>
        <v>-0.005862871872</v>
      </c>
      <c r="C484" s="32">
        <f>IFERROR(__xludf.DUMMYFUNCTION("FILTER(IRCTC.NS!H:H,IRCTC.NS!A:A=A484)"),0.002730504441908323)</f>
        <v>0.002730504442</v>
      </c>
      <c r="D484" s="32">
        <f>IFERROR(__xludf.DUMMYFUNCTION("FILTER(TATAELXSI.NS!H:H,TATAELXSI.NS!A:A=A484)"),0.018578493750268987)</f>
        <v>0.01857849375</v>
      </c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1">
        <f>IFERROR(__xludf.DUMMYFUNCTION("""COMPUTED_VALUE"""),45057.0)</f>
        <v>45057</v>
      </c>
      <c r="B485" s="32">
        <f>IFERROR(__xludf.DUMMYFUNCTION("FILTER(INFY.NS!H:H,INFY.NS!A:A=A485)"),-0.005660022956659435)</f>
        <v>-0.005660022957</v>
      </c>
      <c r="C485" s="32">
        <f>IFERROR(__xludf.DUMMYFUNCTION("FILTER(IRCTC.NS!H:H,IRCTC.NS!A:A=A485)"),0.003684107070653964)</f>
        <v>0.003684107071</v>
      </c>
      <c r="D485" s="32">
        <f>IFERROR(__xludf.DUMMYFUNCTION("FILTER(TATAELXSI.NS!H:H,TATAELXSI.NS!A:A=A485)"),0.010741590871378097)</f>
        <v>0.01074159087</v>
      </c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1">
        <f>IFERROR(__xludf.DUMMYFUNCTION("""COMPUTED_VALUE"""),45058.0)</f>
        <v>45058</v>
      </c>
      <c r="B486" s="32">
        <f>IFERROR(__xludf.DUMMYFUNCTION("FILTER(INFY.NS!H:H,INFY.NS!A:A=A486)"),-0.008677673121776983)</f>
        <v>-0.008677673122</v>
      </c>
      <c r="C486" s="32">
        <f>IFERROR(__xludf.DUMMYFUNCTION("FILTER(IRCTC.NS!H:H,IRCTC.NS!A:A=A486)"),0.002952499315129316)</f>
        <v>0.002952499315</v>
      </c>
      <c r="D486" s="32">
        <f>IFERROR(__xludf.DUMMYFUNCTION("FILTER(TATAELXSI.NS!H:H,TATAELXSI.NS!A:A=A486)"),-0.016635756578895978)</f>
        <v>-0.01663575658</v>
      </c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1">
        <f>IFERROR(__xludf.DUMMYFUNCTION("""COMPUTED_VALUE"""),45061.0)</f>
        <v>45061</v>
      </c>
      <c r="B487" s="32">
        <f>IFERROR(__xludf.DUMMYFUNCTION("FILTER(INFY.NS!H:H,INFY.NS!A:A=A487)"),0.010560573014349496)</f>
        <v>0.01056057301</v>
      </c>
      <c r="C487" s="32">
        <f>IFERROR(__xludf.DUMMYFUNCTION("FILTER(IRCTC.NS!H:H,IRCTC.NS!A:A=A487)"),0.006205686889222232)</f>
        <v>0.006205686889</v>
      </c>
      <c r="D487" s="32">
        <f>IFERROR(__xludf.DUMMYFUNCTION("FILTER(TATAELXSI.NS!H:H,TATAELXSI.NS!A:A=A487)"),-0.006639730928334186)</f>
        <v>-0.006639730928</v>
      </c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1">
        <f>IFERROR(__xludf.DUMMYFUNCTION("""COMPUTED_VALUE"""),45062.0)</f>
        <v>45062</v>
      </c>
      <c r="B488" s="32">
        <f>IFERROR(__xludf.DUMMYFUNCTION("FILTER(INFY.NS!H:H,INFY.NS!A:A=A488)"),0.004728472295850368)</f>
        <v>0.004728472296</v>
      </c>
      <c r="C488" s="32">
        <f>IFERROR(__xludf.DUMMYFUNCTION("FILTER(IRCTC.NS!H:H,IRCTC.NS!A:A=A488)"),-0.009804621230822881)</f>
        <v>-0.009804621231</v>
      </c>
      <c r="D488" s="32">
        <f>IFERROR(__xludf.DUMMYFUNCTION("FILTER(TATAELXSI.NS!H:H,TATAELXSI.NS!A:A=A488)"),0.011960307160232431)</f>
        <v>0.01196030716</v>
      </c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1">
        <f>IFERROR(__xludf.DUMMYFUNCTION("""COMPUTED_VALUE"""),45063.0)</f>
        <v>45063</v>
      </c>
      <c r="B489" s="32">
        <f>IFERROR(__xludf.DUMMYFUNCTION("FILTER(INFY.NS!H:H,INFY.NS!A:A=A489)"),-0.01376257559569225)</f>
        <v>-0.0137625756</v>
      </c>
      <c r="C489" s="32">
        <f>IFERROR(__xludf.DUMMYFUNCTION("FILTER(IRCTC.NS!H:H,IRCTC.NS!A:A=A489)"),-0.005430046905180714)</f>
        <v>-0.005430046905</v>
      </c>
      <c r="D489" s="32">
        <f>IFERROR(__xludf.DUMMYFUNCTION("FILTER(TATAELXSI.NS!H:H,TATAELXSI.NS!A:A=A489)"),-0.002325883967347255)</f>
        <v>-0.002325883967</v>
      </c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1">
        <f>IFERROR(__xludf.DUMMYFUNCTION("""COMPUTED_VALUE"""),45064.0)</f>
        <v>45064</v>
      </c>
      <c r="B490" s="32">
        <f>IFERROR(__xludf.DUMMYFUNCTION("FILTER(INFY.NS!H:H,INFY.NS!A:A=A490)"),-7.218092731386701E-4)</f>
        <v>-0.0007218092731</v>
      </c>
      <c r="C490" s="32">
        <f>IFERROR(__xludf.DUMMYFUNCTION("FILTER(IRCTC.NS!H:H,IRCTC.NS!A:A=A490)"),-0.012685706945002055)</f>
        <v>-0.01268570695</v>
      </c>
      <c r="D490" s="32">
        <f>IFERROR(__xludf.DUMMYFUNCTION("FILTER(TATAELXSI.NS!H:H,TATAELXSI.NS!A:A=A490)"),-0.014586225876259884)</f>
        <v>-0.01458622588</v>
      </c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1">
        <f>IFERROR(__xludf.DUMMYFUNCTION("""COMPUTED_VALUE"""),45065.0)</f>
        <v>45065</v>
      </c>
      <c r="B491" s="32">
        <f>IFERROR(__xludf.DUMMYFUNCTION("FILTER(INFY.NS!H:H,INFY.NS!A:A=A491)"),0.01837883146067418)</f>
        <v>0.01837883146</v>
      </c>
      <c r="C491" s="32">
        <f>IFERROR(__xludf.DUMMYFUNCTION("FILTER(IRCTC.NS!H:H,IRCTC.NS!A:A=A491)"),-0.0073188585437954055)</f>
        <v>-0.007318858544</v>
      </c>
      <c r="D491" s="32">
        <f>IFERROR(__xludf.DUMMYFUNCTION("FILTER(TATAELXSI.NS!H:H,TATAELXSI.NS!A:A=A491)"),0.004538567035739669)</f>
        <v>0.004538567036</v>
      </c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1">
        <f>IFERROR(__xludf.DUMMYFUNCTION("""COMPUTED_VALUE"""),45068.0)</f>
        <v>45068</v>
      </c>
      <c r="B492" s="32">
        <f>IFERROR(__xludf.DUMMYFUNCTION("FILTER(INFY.NS!H:H,INFY.NS!A:A=A492)"),0.018835230946453126)</f>
        <v>0.01883523095</v>
      </c>
      <c r="C492" s="32">
        <f>IFERROR(__xludf.DUMMYFUNCTION("FILTER(IRCTC.NS!H:H,IRCTC.NS!A:A=A492)"),0.02154505532412773)</f>
        <v>0.02154505532</v>
      </c>
      <c r="D492" s="32">
        <f>IFERROR(__xludf.DUMMYFUNCTION("FILTER(TATAELXSI.NS!H:H,TATAELXSI.NS!A:A=A492)"),-0.01371072974255564)</f>
        <v>-0.01371072974</v>
      </c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1">
        <f>IFERROR(__xludf.DUMMYFUNCTION("""COMPUTED_VALUE"""),45069.0)</f>
        <v>45069</v>
      </c>
      <c r="B493" s="32">
        <f>IFERROR(__xludf.DUMMYFUNCTION("FILTER(INFY.NS!H:H,INFY.NS!A:A=A493)"),0.005607982460712299)</f>
        <v>0.005607982461</v>
      </c>
      <c r="C493" s="32">
        <f>IFERROR(__xludf.DUMMYFUNCTION("FILTER(IRCTC.NS!H:H,IRCTC.NS!A:A=A493)"),0.0013632333600641052)</f>
        <v>0.00136323336</v>
      </c>
      <c r="D493" s="32">
        <f>IFERROR(__xludf.DUMMYFUNCTION("FILTER(TATAELXSI.NS!H:H,TATAELXSI.NS!A:A=A493)"),0.013280883710864182)</f>
        <v>0.01328088371</v>
      </c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1">
        <f>IFERROR(__xludf.DUMMYFUNCTION("""COMPUTED_VALUE"""),45070.0)</f>
        <v>45070</v>
      </c>
      <c r="B494" s="32">
        <f>IFERROR(__xludf.DUMMYFUNCTION("FILTER(INFY.NS!H:H,INFY.NS!A:A=A494)"),-0.0010769008478379851)</f>
        <v>-0.001076900848</v>
      </c>
      <c r="C494" s="32">
        <f>IFERROR(__xludf.DUMMYFUNCTION("FILTER(IRCTC.NS!H:H,IRCTC.NS!A:A=A494)"),-0.008729001696958406)</f>
        <v>-0.008729001697</v>
      </c>
      <c r="D494" s="32">
        <f>IFERROR(__xludf.DUMMYFUNCTION("FILTER(TATAELXSI.NS!H:H,TATAELXSI.NS!A:A=A494)"),0.001338505387404226)</f>
        <v>0.001338505387</v>
      </c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1">
        <f>IFERROR(__xludf.DUMMYFUNCTION("""COMPUTED_VALUE"""),45071.0)</f>
        <v>45071</v>
      </c>
      <c r="B495" s="32">
        <f>IFERROR(__xludf.DUMMYFUNCTION("FILTER(INFY.NS!H:H,INFY.NS!A:A=A495)"),0.00438913632977374)</f>
        <v>0.00438913633</v>
      </c>
      <c r="C495" s="32">
        <f>IFERROR(__xludf.DUMMYFUNCTION("FILTER(IRCTC.NS!H:H,IRCTC.NS!A:A=A495)"),-5.655776158122196E-4)</f>
        <v>-0.0005655776158</v>
      </c>
      <c r="D495" s="32">
        <f>IFERROR(__xludf.DUMMYFUNCTION("FILTER(TATAELXSI.NS!H:H,TATAELXSI.NS!A:A=A495)"),0.03249931370470227)</f>
        <v>0.0324993137</v>
      </c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1">
        <f>IFERROR(__xludf.DUMMYFUNCTION("""COMPUTED_VALUE"""),45072.0)</f>
        <v>45072</v>
      </c>
      <c r="B496" s="32">
        <f>IFERROR(__xludf.DUMMYFUNCTION("FILTER(INFY.NS!H:H,INFY.NS!A:A=A496)"),0.010043297612634054)</f>
        <v>0.01004329761</v>
      </c>
      <c r="C496" s="32">
        <f>IFERROR(__xludf.DUMMYFUNCTION("FILTER(IRCTC.NS!H:H,IRCTC.NS!A:A=A496)"),0.009376749030023399)</f>
        <v>0.00937674903</v>
      </c>
      <c r="D496" s="32">
        <f>IFERROR(__xludf.DUMMYFUNCTION("FILTER(TATAELXSI.NS!H:H,TATAELXSI.NS!A:A=A496)"),0.028384533535325697)</f>
        <v>0.02838453354</v>
      </c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1">
        <f>IFERROR(__xludf.DUMMYFUNCTION("""COMPUTED_VALUE"""),45075.0)</f>
        <v>45075</v>
      </c>
      <c r="B497" s="32">
        <f>IFERROR(__xludf.DUMMYFUNCTION("FILTER(INFY.NS!H:H,INFY.NS!A:A=A497)"),-0.0023150230471260043)</f>
        <v>-0.002315023047</v>
      </c>
      <c r="C497" s="32">
        <f>IFERROR(__xludf.DUMMYFUNCTION("FILTER(IRCTC.NS!H:H,IRCTC.NS!A:A=A497)"),0.034275686430073685)</f>
        <v>0.03427568643</v>
      </c>
      <c r="D497" s="32">
        <f>IFERROR(__xludf.DUMMYFUNCTION("FILTER(TATAELXSI.NS!H:H,TATAELXSI.NS!A:A=A497)"),0.0037297072001833582)</f>
        <v>0.0037297072</v>
      </c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1">
        <f>IFERROR(__xludf.DUMMYFUNCTION("""COMPUTED_VALUE"""),45076.0)</f>
        <v>45076</v>
      </c>
      <c r="B498" s="32">
        <f>IFERROR(__xludf.DUMMYFUNCTION("FILTER(INFY.NS!H:H,INFY.NS!A:A=A498)"),0.007189555559533328)</f>
        <v>0.00718955556</v>
      </c>
      <c r="C498" s="32">
        <f>IFERROR(__xludf.DUMMYFUNCTION("FILTER(IRCTC.NS!H:H,IRCTC.NS!A:A=A498)"),-0.003097173828881146)</f>
        <v>-0.003097173829</v>
      </c>
      <c r="D498" s="32">
        <f>IFERROR(__xludf.DUMMYFUNCTION("FILTER(TATAELXSI.NS!H:H,TATAELXSI.NS!A:A=A498)"),-0.009733246132664974)</f>
        <v>-0.009733246133</v>
      </c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1">
        <f>IFERROR(__xludf.DUMMYFUNCTION("""COMPUTED_VALUE"""),45077.0)</f>
        <v>45077</v>
      </c>
      <c r="B499" s="32">
        <f>IFERROR(__xludf.DUMMYFUNCTION("FILTER(INFY.NS!H:H,INFY.NS!A:A=A499)"),-0.0041922627945872514)</f>
        <v>-0.004192262795</v>
      </c>
      <c r="C499" s="32">
        <f>IFERROR(__xludf.DUMMYFUNCTION("FILTER(IRCTC.NS!H:H,IRCTC.NS!A:A=A499)"),0.008932038834951457)</f>
        <v>0.008932038835</v>
      </c>
      <c r="D499" s="32">
        <f>IFERROR(__xludf.DUMMYFUNCTION("FILTER(TATAELXSI.NS!H:H,TATAELXSI.NS!A:A=A499)"),-6.065683104289261E-5)</f>
        <v>-0.00006065683104</v>
      </c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1">
        <f>IFERROR(__xludf.DUMMYFUNCTION("""COMPUTED_VALUE"""),45078.0)</f>
        <v>45078</v>
      </c>
      <c r="B500" s="32">
        <f>IFERROR(__xludf.DUMMYFUNCTION("FILTER(INFY.NS!H:H,INFY.NS!A:A=A500)"),9.102260148668595E-4)</f>
        <v>0.0009102260149</v>
      </c>
      <c r="C500" s="32">
        <f>IFERROR(__xludf.DUMMYFUNCTION("FILTER(IRCTC.NS!H:H,IRCTC.NS!A:A=A500)"),0.0)</f>
        <v>0</v>
      </c>
      <c r="D500" s="32">
        <f>IFERROR(__xludf.DUMMYFUNCTION("FILTER(TATAELXSI.NS!H:H,TATAELXSI.NS!A:A=A500)"),0.02869349402688545)</f>
        <v>0.02869349403</v>
      </c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1">
        <f>IFERROR(__xludf.DUMMYFUNCTION("""COMPUTED_VALUE"""),45079.0)</f>
        <v>45079</v>
      </c>
      <c r="B501" s="32">
        <f>IFERROR(__xludf.DUMMYFUNCTION("FILTER(INFY.NS!H:H,INFY.NS!A:A=A501)"),-0.015536187949981054)</f>
        <v>-0.01553618795</v>
      </c>
      <c r="C501" s="32">
        <f>IFERROR(__xludf.DUMMYFUNCTION("FILTER(IRCTC.NS!H:H,IRCTC.NS!A:A=A501)"),-0.006235547344110831)</f>
        <v>-0.006235547344</v>
      </c>
      <c r="D501" s="32">
        <f>IFERROR(__xludf.DUMMYFUNCTION("FILTER(TATAELXSI.NS!H:H,TATAELXSI.NS!A:A=A501)"),0.008049013687864346)</f>
        <v>0.008049013688</v>
      </c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1">
        <f>IFERROR(__xludf.DUMMYFUNCTION("""COMPUTED_VALUE"""),45082.0)</f>
        <v>45082</v>
      </c>
      <c r="B502" s="32">
        <f>IFERROR(__xludf.DUMMYFUNCTION("FILTER(INFY.NS!H:H,INFY.NS!A:A=A502)"),0.004234026173979984)</f>
        <v>0.004234026174</v>
      </c>
      <c r="C502" s="32">
        <f>IFERROR(__xludf.DUMMYFUNCTION("FILTER(IRCTC.NS!H:H,IRCTC.NS!A:A=A502)"),-0.0027887333899375383)</f>
        <v>-0.00278873339</v>
      </c>
      <c r="D502" s="32">
        <f>IFERROR(__xludf.DUMMYFUNCTION("FILTER(TATAELXSI.NS!H:H,TATAELXSI.NS!A:A=A502)"),2.8582656387627026E-4)</f>
        <v>0.0002858265639</v>
      </c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1">
        <f>IFERROR(__xludf.DUMMYFUNCTION("""COMPUTED_VALUE"""),45083.0)</f>
        <v>45083</v>
      </c>
      <c r="B503" s="32">
        <f>IFERROR(__xludf.DUMMYFUNCTION("FILTER(INFY.NS!H:H,INFY.NS!A:A=A503)"),-0.019547719432732848)</f>
        <v>-0.01954771943</v>
      </c>
      <c r="C503" s="32">
        <f>IFERROR(__xludf.DUMMYFUNCTION("FILTER(IRCTC.NS!H:H,IRCTC.NS!A:A=A503)"),-0.0010099028598809317)</f>
        <v>-0.00100990286</v>
      </c>
      <c r="D503" s="32">
        <f>IFERROR(__xludf.DUMMYFUNCTION("FILTER(TATAELXSI.NS!H:H,TATAELXSI.NS!A:A=A503)"),-0.012165247909198236)</f>
        <v>-0.01216524791</v>
      </c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1">
        <f>IFERROR(__xludf.DUMMYFUNCTION("""COMPUTED_VALUE"""),45084.0)</f>
        <v>45084</v>
      </c>
      <c r="B504" s="32">
        <f>IFERROR(__xludf.DUMMYFUNCTION("FILTER(INFY.NS!H:H,INFY.NS!A:A=A504)"),0.007779476935105595)</f>
        <v>0.007779476935</v>
      </c>
      <c r="C504" s="32">
        <f>IFERROR(__xludf.DUMMYFUNCTION("FILTER(IRCTC.NS!H:H,IRCTC.NS!A:A=A504)"),0.015396615863141571)</f>
        <v>0.01539661586</v>
      </c>
      <c r="D504" s="32">
        <f>IFERROR(__xludf.DUMMYFUNCTION("FILTER(TATAELXSI.NS!H:H,TATAELXSI.NS!A:A=A504)"),0.0116443954237622)</f>
        <v>0.01164439542</v>
      </c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1">
        <f>IFERROR(__xludf.DUMMYFUNCTION("""COMPUTED_VALUE"""),45085.0)</f>
        <v>45085</v>
      </c>
      <c r="B505" s="32">
        <f>IFERROR(__xludf.DUMMYFUNCTION("FILTER(INFY.NS!H:H,INFY.NS!A:A=A505)"),-0.004771249648001353)</f>
        <v>-0.004771249648</v>
      </c>
      <c r="C505" s="32">
        <f>IFERROR(__xludf.DUMMYFUNCTION("FILTER(IRCTC.NS!H:H,IRCTC.NS!A:A=A505)"),-0.01363152653215407)</f>
        <v>-0.01363152653</v>
      </c>
      <c r="D505" s="32">
        <f>IFERROR(__xludf.DUMMYFUNCTION("FILTER(TATAELXSI.NS!H:H,TATAELXSI.NS!A:A=A505)"),0.01970611146979315)</f>
        <v>0.01970611147</v>
      </c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1">
        <f>IFERROR(__xludf.DUMMYFUNCTION("""COMPUTED_VALUE"""),45086.0)</f>
        <v>45086</v>
      </c>
      <c r="B506" s="32">
        <f>IFERROR(__xludf.DUMMYFUNCTION("FILTER(INFY.NS!H:H,INFY.NS!A:A=A506)"),-0.01313540486152561)</f>
        <v>-0.01313540486</v>
      </c>
      <c r="C506" s="32">
        <f>IFERROR(__xludf.DUMMYFUNCTION("FILTER(IRCTC.NS!H:H,IRCTC.NS!A:A=A506)"),-0.005978223602484425)</f>
        <v>-0.005978223602</v>
      </c>
      <c r="D506" s="32">
        <f>IFERROR(__xludf.DUMMYFUNCTION("FILTER(TATAELXSI.NS!H:H,TATAELXSI.NS!A:A=A506)"),-0.0034481849844062323)</f>
        <v>-0.003448184984</v>
      </c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1">
        <f>IFERROR(__xludf.DUMMYFUNCTION("""COMPUTED_VALUE"""),45089.0)</f>
        <v>45089</v>
      </c>
      <c r="B507" s="32">
        <f>IFERROR(__xludf.DUMMYFUNCTION("FILTER(INFY.NS!H:H,INFY.NS!A:A=A507)"),0.020537936732381926)</f>
        <v>0.02053793673</v>
      </c>
      <c r="C507" s="32">
        <f>IFERROR(__xludf.DUMMYFUNCTION("FILTER(IRCTC.NS!H:H,IRCTC.NS!A:A=A507)"),0.008982269443764013)</f>
        <v>0.008982269444</v>
      </c>
      <c r="D507" s="32">
        <f>IFERROR(__xludf.DUMMYFUNCTION("FILTER(TATAELXSI.NS!H:H,TATAELXSI.NS!A:A=A507)"),0.005231772089552605)</f>
        <v>0.00523177209</v>
      </c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1">
        <f>IFERROR(__xludf.DUMMYFUNCTION("""COMPUTED_VALUE"""),45090.0)</f>
        <v>45090</v>
      </c>
      <c r="B508" s="32">
        <f>IFERROR(__xludf.DUMMYFUNCTION("FILTER(INFY.NS!H:H,INFY.NS!A:A=A508)"),0.00998492626592461)</f>
        <v>0.009984926266</v>
      </c>
      <c r="C508" s="32">
        <f>IFERROR(__xludf.DUMMYFUNCTION("FILTER(IRCTC.NS!H:H,IRCTC.NS!A:A=A508)"),0.0026319119628952655)</f>
        <v>0.002631911963</v>
      </c>
      <c r="D508" s="32">
        <f>IFERROR(__xludf.DUMMYFUNCTION("FILTER(TATAELXSI.NS!H:H,TATAELXSI.NS!A:A=A508)"),-8.271298593879239E-4)</f>
        <v>-0.0008271298594</v>
      </c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1">
        <f>IFERROR(__xludf.DUMMYFUNCTION("""COMPUTED_VALUE"""),45091.0)</f>
        <v>45091</v>
      </c>
      <c r="B509" s="32">
        <f>IFERROR(__xludf.DUMMYFUNCTION("FILTER(INFY.NS!H:H,INFY.NS!A:A=A509)"),-0.003410316957387858)</f>
        <v>-0.003410316957</v>
      </c>
      <c r="C509" s="32">
        <f>IFERROR(__xludf.DUMMYFUNCTION("FILTER(IRCTC.NS!H:H,IRCTC.NS!A:A=A509)"),-0.00633103173555394)</f>
        <v>-0.006331031736</v>
      </c>
      <c r="D509" s="32">
        <f>IFERROR(__xludf.DUMMYFUNCTION("FILTER(TATAELXSI.NS!H:H,TATAELXSI.NS!A:A=A509)"),-0.013003069026999476)</f>
        <v>-0.01300306903</v>
      </c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1">
        <f>IFERROR(__xludf.DUMMYFUNCTION("""COMPUTED_VALUE"""),45092.0)</f>
        <v>45092</v>
      </c>
      <c r="B510" s="32">
        <f>IFERROR(__xludf.DUMMYFUNCTION("FILTER(INFY.NS!H:H,INFY.NS!A:A=A510)"),-0.01045830109889331)</f>
        <v>-0.0104583011</v>
      </c>
      <c r="C510" s="32">
        <f>IFERROR(__xludf.DUMMYFUNCTION("FILTER(IRCTC.NS!H:H,IRCTC.NS!A:A=A510)"),-7.77000777000777E-4)</f>
        <v>-0.000777000777</v>
      </c>
      <c r="D510" s="32">
        <f>IFERROR(__xludf.DUMMYFUNCTION("FILTER(TATAELXSI.NS!H:H,TATAELXSI.NS!A:A=A510)"),0.0047290808221331195)</f>
        <v>0.004729080822</v>
      </c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1">
        <f>IFERROR(__xludf.DUMMYFUNCTION("""COMPUTED_VALUE"""),45093.0)</f>
        <v>45093</v>
      </c>
      <c r="B511" s="32">
        <f>IFERROR(__xludf.DUMMYFUNCTION("FILTER(INFY.NS!H:H,INFY.NS!A:A=A511)"),0.0037690199062155043)</f>
        <v>0.003769019906</v>
      </c>
      <c r="C511" s="32">
        <f>IFERROR(__xludf.DUMMYFUNCTION("FILTER(IRCTC.NS!H:H,IRCTC.NS!A:A=A511)"),0.03421461897356143)</f>
        <v>0.03421461897</v>
      </c>
      <c r="D511" s="32">
        <f>IFERROR(__xludf.DUMMYFUNCTION("FILTER(TATAELXSI.NS!H:H,TATAELXSI.NS!A:A=A511)"),-0.018795180621078593)</f>
        <v>-0.01879518062</v>
      </c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1">
        <f>IFERROR(__xludf.DUMMYFUNCTION("""COMPUTED_VALUE"""),45096.0)</f>
        <v>45096</v>
      </c>
      <c r="B512" s="32">
        <f>IFERROR(__xludf.DUMMYFUNCTION("FILTER(INFY.NS!H:H,INFY.NS!A:A=A512)"),0.001819359699868646)</f>
        <v>0.0018193597</v>
      </c>
      <c r="C512" s="32">
        <f>IFERROR(__xludf.DUMMYFUNCTION("FILTER(IRCTC.NS!H:H,IRCTC.NS!A:A=A512)"),0.004285678195488676)</f>
        <v>0.004285678195</v>
      </c>
      <c r="D512" s="32">
        <f>IFERROR(__xludf.DUMMYFUNCTION("FILTER(TATAELXSI.NS!H:H,TATAELXSI.NS!A:A=A512)"),0.005634643582791569)</f>
        <v>0.005634643583</v>
      </c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1">
        <f>IFERROR(__xludf.DUMMYFUNCTION("""COMPUTED_VALUE"""),45097.0)</f>
        <v>45097</v>
      </c>
      <c r="B513" s="32">
        <f>IFERROR(__xludf.DUMMYFUNCTION("FILTER(INFY.NS!H:H,INFY.NS!A:A=A513)"),0.007264315301391059)</f>
        <v>0.007264315301</v>
      </c>
      <c r="C513" s="32">
        <f>IFERROR(__xludf.DUMMYFUNCTION("FILTER(IRCTC.NS!H:H,IRCTC.NS!A:A=A513)"),-0.005689882663108736)</f>
        <v>-0.005689882663</v>
      </c>
      <c r="D513" s="32">
        <f>IFERROR(__xludf.DUMMYFUNCTION("FILTER(TATAELXSI.NS!H:H,TATAELXSI.NS!A:A=A513)"),0.011349389255848807)</f>
        <v>0.01134938926</v>
      </c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1">
        <f>IFERROR(__xludf.DUMMYFUNCTION("""COMPUTED_VALUE"""),45098.0)</f>
        <v>45098</v>
      </c>
      <c r="B514" s="32">
        <f>IFERROR(__xludf.DUMMYFUNCTION("FILTER(INFY.NS!H:H,INFY.NS!A:A=A514)"),-0.0031072947103153196)</f>
        <v>-0.00310729471</v>
      </c>
      <c r="C514" s="32">
        <f>IFERROR(__xludf.DUMMYFUNCTION("FILTER(IRCTC.NS!H:H,IRCTC.NS!A:A=A514)"),-0.0025600663063335754)</f>
        <v>-0.002560066306</v>
      </c>
      <c r="D514" s="32">
        <f>IFERROR(__xludf.DUMMYFUNCTION("FILTER(TATAELXSI.NS!H:H,TATAELXSI.NS!A:A=A514)"),0.0026124361511334093)</f>
        <v>0.002612436151</v>
      </c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1">
        <f>IFERROR(__xludf.DUMMYFUNCTION("""COMPUTED_VALUE"""),45099.0)</f>
        <v>45099</v>
      </c>
      <c r="B515" s="32">
        <f>IFERROR(__xludf.DUMMYFUNCTION("FILTER(INFY.NS!H:H,INFY.NS!A:A=A515)"),-0.013699101342039064)</f>
        <v>-0.01369910134</v>
      </c>
      <c r="C515" s="32">
        <f>IFERROR(__xludf.DUMMYFUNCTION("FILTER(IRCTC.NS!H:H,IRCTC.NS!A:A=A515)"),-0.026345516165610823)</f>
        <v>-0.02634551617</v>
      </c>
      <c r="D515" s="32">
        <f>IFERROR(__xludf.DUMMYFUNCTION("FILTER(TATAELXSI.NS!H:H,TATAELXSI.NS!A:A=A515)"),-0.015852132336424605)</f>
        <v>-0.01585213234</v>
      </c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1">
        <f>IFERROR(__xludf.DUMMYFUNCTION("""COMPUTED_VALUE"""),45100.0)</f>
        <v>45100</v>
      </c>
      <c r="B516" s="32">
        <f>IFERROR(__xludf.DUMMYFUNCTION("FILTER(INFY.NS!H:H,INFY.NS!A:A=A516)"),-0.012914087134493133)</f>
        <v>-0.01291408713</v>
      </c>
      <c r="C516" s="32">
        <f>IFERROR(__xludf.DUMMYFUNCTION("FILTER(IRCTC.NS!H:H,IRCTC.NS!A:A=A516)"),-0.02651579371006512)</f>
        <v>-0.02651579371</v>
      </c>
      <c r="D516" s="32">
        <f>IFERROR(__xludf.DUMMYFUNCTION("FILTER(TATAELXSI.NS!H:H,TATAELXSI.NS!A:A=A516)"),-0.024167700935798318)</f>
        <v>-0.02416770094</v>
      </c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1">
        <f>IFERROR(__xludf.DUMMYFUNCTION("""COMPUTED_VALUE"""),45103.0)</f>
        <v>45103</v>
      </c>
      <c r="B517" s="32">
        <f>IFERROR(__xludf.DUMMYFUNCTION("FILTER(INFY.NS!H:H,INFY.NS!A:A=A517)"),0.004229230039525668)</f>
        <v>0.00422923004</v>
      </c>
      <c r="C517" s="32">
        <f>IFERROR(__xludf.DUMMYFUNCTION("FILTER(IRCTC.NS!H:H,IRCTC.NS!A:A=A517)"),0.007406855828101785)</f>
        <v>0.007406855828</v>
      </c>
      <c r="D517" s="32">
        <f>IFERROR(__xludf.DUMMYFUNCTION("FILTER(TATAELXSI.NS!H:H,TATAELXSI.NS!A:A=A517)"),0.003448272753438136)</f>
        <v>0.003448272753</v>
      </c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1">
        <f>IFERROR(__xludf.DUMMYFUNCTION("""COMPUTED_VALUE"""),45104.0)</f>
        <v>45104</v>
      </c>
      <c r="B518" s="32">
        <f>IFERROR(__xludf.DUMMYFUNCTION("FILTER(INFY.NS!H:H,INFY.NS!A:A=A518)"),0.0069272626963076045)</f>
        <v>0.006927262696</v>
      </c>
      <c r="C518" s="32">
        <f>IFERROR(__xludf.DUMMYFUNCTION("FILTER(IRCTC.NS!H:H,IRCTC.NS!A:A=A518)"),-0.0029251892875290916)</f>
        <v>-0.002925189288</v>
      </c>
      <c r="D518" s="32">
        <f>IFERROR(__xludf.DUMMYFUNCTION("FILTER(TATAELXSI.NS!H:H,TATAELXSI.NS!A:A=A518)"),0.005121400552762192)</f>
        <v>0.005121400553</v>
      </c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1">
        <f>IFERROR(__xludf.DUMMYFUNCTION("""COMPUTED_VALUE"""),45105.0)</f>
        <v>45105</v>
      </c>
      <c r="B519" s="32">
        <f>IFERROR(__xludf.DUMMYFUNCTION("FILTER(INFY.NS!H:H,INFY.NS!A:A=A519)"),0.011101084105518445)</f>
        <v>0.01110108411</v>
      </c>
      <c r="C519" s="32">
        <f>IFERROR(__xludf.DUMMYFUNCTION("FILTER(IRCTC.NS!H:H,IRCTC.NS!A:A=A519)"),-0.002854405436894569)</f>
        <v>-0.002854405437</v>
      </c>
      <c r="D519" s="32">
        <f>IFERROR(__xludf.DUMMYFUNCTION("FILTER(TATAELXSI.NS!H:H,TATAELXSI.NS!A:A=A519)"),0.0052940163218131745)</f>
        <v>0.005294016322</v>
      </c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1">
        <f>IFERROR(__xludf.DUMMYFUNCTION("""COMPUTED_VALUE"""),45107.0)</f>
        <v>45107</v>
      </c>
      <c r="B520" s="32">
        <f>IFERROR(__xludf.DUMMYFUNCTION("FILTER(INFY.NS!H:H,INFY.NS!A:A=A520)"),0.03258980537530859)</f>
        <v>0.03258980538</v>
      </c>
      <c r="C520" s="32">
        <f>IFERROR(__xludf.DUMMYFUNCTION("FILTER(IRCTC.NS!H:H,IRCTC.NS!A:A=A520)"),0.01001906507669969)</f>
        <v>0.01001906508</v>
      </c>
      <c r="D520" s="32">
        <f>IFERROR(__xludf.DUMMYFUNCTION("FILTER(TATAELXSI.NS!H:H,TATAELXSI.NS!A:A=A520)"),3.0978797286622465E-4)</f>
        <v>0.0003097879729</v>
      </c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1">
        <f>IFERROR(__xludf.DUMMYFUNCTION("""COMPUTED_VALUE"""),45110.0)</f>
        <v>45110</v>
      </c>
      <c r="B521" s="32">
        <f>IFERROR(__xludf.DUMMYFUNCTION("FILTER(INFY.NS!H:H,INFY.NS!A:A=A521)"),-0.001347846499438371)</f>
        <v>-0.001347846499</v>
      </c>
      <c r="C521" s="32">
        <f>IFERROR(__xludf.DUMMYFUNCTION("FILTER(IRCTC.NS!H:H,IRCTC.NS!A:A=A521)"),-0.0031491104953214485)</f>
        <v>-0.003149110495</v>
      </c>
      <c r="D521" s="32">
        <f>IFERROR(__xludf.DUMMYFUNCTION("FILTER(TATAELXSI.NS!H:H,TATAELXSI.NS!A:A=A521)"),-0.005561072016867675)</f>
        <v>-0.005561072017</v>
      </c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1">
        <f>IFERROR(__xludf.DUMMYFUNCTION("""COMPUTED_VALUE"""),45111.0)</f>
        <v>45111</v>
      </c>
      <c r="B522" s="32">
        <f>IFERROR(__xludf.DUMMYFUNCTION("FILTER(INFY.NS!H:H,INFY.NS!A:A=A522)"),0.008585194137118158)</f>
        <v>0.008585194137</v>
      </c>
      <c r="C522" s="32">
        <f>IFERROR(__xludf.DUMMYFUNCTION("FILTER(IRCTC.NS!H:H,IRCTC.NS!A:A=A522)"),-0.0069498723215872535)</f>
        <v>-0.006949872322</v>
      </c>
      <c r="D522" s="32">
        <f>IFERROR(__xludf.DUMMYFUNCTION("FILTER(TATAELXSI.NS!H:H,TATAELXSI.NS!A:A=A522)"),-0.004306746463805516)</f>
        <v>-0.004306746464</v>
      </c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1">
        <f>IFERROR(__xludf.DUMMYFUNCTION("""COMPUTED_VALUE"""),45112.0)</f>
        <v>45112</v>
      </c>
      <c r="B523" s="32">
        <f>IFERROR(__xludf.DUMMYFUNCTION("FILTER(INFY.NS!H:H,INFY.NS!A:A=A523)"),0.0015983533149756047)</f>
        <v>0.001598353315</v>
      </c>
      <c r="C523" s="32">
        <f>IFERROR(__xludf.DUMMYFUNCTION("FILTER(IRCTC.NS!H:H,IRCTC.NS!A:A=A523)"),0.003022051795348072)</f>
        <v>0.003022051795</v>
      </c>
      <c r="D523" s="32">
        <f>IFERROR(__xludf.DUMMYFUNCTION("FILTER(TATAELXSI.NS!H:H,TATAELXSI.NS!A:A=A523)"),0.005223721820999462)</f>
        <v>0.005223721821</v>
      </c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1">
        <f>IFERROR(__xludf.DUMMYFUNCTION("""COMPUTED_VALUE"""),45113.0)</f>
        <v>45113</v>
      </c>
      <c r="B524" s="32">
        <f>IFERROR(__xludf.DUMMYFUNCTION("FILTER(INFY.NS!H:H,INFY.NS!A:A=A524)"),-0.002523584113667552)</f>
        <v>-0.002523584114</v>
      </c>
      <c r="C524" s="32">
        <f>IFERROR(__xludf.DUMMYFUNCTION("FILTER(IRCTC.NS!H:H,IRCTC.NS!A:A=A524)"),0.0026958643588657783)</f>
        <v>0.002695864359</v>
      </c>
      <c r="D524" s="32">
        <f>IFERROR(__xludf.DUMMYFUNCTION("FILTER(TATAELXSI.NS!H:H,TATAELXSI.NS!A:A=A524)"),-0.002343385447860126)</f>
        <v>-0.002343385448</v>
      </c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1">
        <f>IFERROR(__xludf.DUMMYFUNCTION("""COMPUTED_VALUE"""),45114.0)</f>
        <v>45114</v>
      </c>
      <c r="B525" s="32">
        <f>IFERROR(__xludf.DUMMYFUNCTION("FILTER(INFY.NS!H:H,INFY.NS!A:A=A525)"),-0.010194265016249433)</f>
        <v>-0.01019426502</v>
      </c>
      <c r="C525" s="32">
        <f>IFERROR(__xludf.DUMMYFUNCTION("FILTER(IRCTC.NS!H:H,IRCTC.NS!A:A=A525)"),-0.002609463911613983)</f>
        <v>-0.002609463912</v>
      </c>
      <c r="D525" s="32">
        <f>IFERROR(__xludf.DUMMYFUNCTION("FILTER(TATAELXSI.NS!H:H,TATAELXSI.NS!A:A=A525)"),8.360333518773452E-4)</f>
        <v>0.0008360333519</v>
      </c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1">
        <f>IFERROR(__xludf.DUMMYFUNCTION("""COMPUTED_VALUE"""),45117.0)</f>
        <v>45117</v>
      </c>
      <c r="B526" s="32">
        <f>IFERROR(__xludf.DUMMYFUNCTION("FILTER(INFY.NS!H:H,INFY.NS!A:A=A526)"),-7.893001343224565E-4)</f>
        <v>-0.0007893001343</v>
      </c>
      <c r="C526" s="32">
        <f>IFERROR(__xludf.DUMMYFUNCTION("FILTER(IRCTC.NS!H:H,IRCTC.NS!A:A=A526)"),-0.023388566461070966)</f>
        <v>-0.02338856646</v>
      </c>
      <c r="D526" s="32">
        <f>IFERROR(__xludf.DUMMYFUNCTION("FILTER(TATAELXSI.NS!H:H,TATAELXSI.NS!A:A=A526)"),-0.00721326270867779)</f>
        <v>-0.007213262709</v>
      </c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1">
        <f>IFERROR(__xludf.DUMMYFUNCTION("""COMPUTED_VALUE"""),45118.0)</f>
        <v>45118</v>
      </c>
      <c r="B527" s="32">
        <f>IFERROR(__xludf.DUMMYFUNCTION("FILTER(INFY.NS!H:H,INFY.NS!A:A=A527)"),0.014633375953653776)</f>
        <v>0.01463337595</v>
      </c>
      <c r="C527" s="32">
        <f>IFERROR(__xludf.DUMMYFUNCTION("FILTER(IRCTC.NS!H:H,IRCTC.NS!A:A=A527)"),0.0050332454606301)</f>
        <v>0.005033245461</v>
      </c>
      <c r="D527" s="32">
        <f>IFERROR(__xludf.DUMMYFUNCTION("FILTER(TATAELXSI.NS!H:H,TATAELXSI.NS!A:A=A527)"),-0.004554422251160291)</f>
        <v>-0.004554422251</v>
      </c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1">
        <f>IFERROR(__xludf.DUMMYFUNCTION("""COMPUTED_VALUE"""),45119.0)</f>
        <v>45119</v>
      </c>
      <c r="B528" s="32">
        <f>IFERROR(__xludf.DUMMYFUNCTION("FILTER(INFY.NS!H:H,INFY.NS!A:A=A528)"),-0.011345044692481905)</f>
        <v>-0.01134504469</v>
      </c>
      <c r="C528" s="32">
        <f>IFERROR(__xludf.DUMMYFUNCTION("FILTER(IRCTC.NS!H:H,IRCTC.NS!A:A=A528)"),0.002746384491114726)</f>
        <v>0.002746384491</v>
      </c>
      <c r="D528" s="32">
        <f>IFERROR(__xludf.DUMMYFUNCTION("FILTER(TATAELXSI.NS!H:H,TATAELXSI.NS!A:A=A528)"),-0.002938341813589906)</f>
        <v>-0.002938341814</v>
      </c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1">
        <f>IFERROR(__xludf.DUMMYFUNCTION("""COMPUTED_VALUE"""),45120.0)</f>
        <v>45120</v>
      </c>
      <c r="B529" s="32">
        <f>IFERROR(__xludf.DUMMYFUNCTION("FILTER(INFY.NS!H:H,INFY.NS!A:A=A529)"),0.023850540637008578)</f>
        <v>0.02385054064</v>
      </c>
      <c r="C529" s="32">
        <f>IFERROR(__xludf.DUMMYFUNCTION("FILTER(IRCTC.NS!H:H,IRCTC.NS!A:A=A529)"),-0.0047527178072618035)</f>
        <v>-0.004752717807</v>
      </c>
      <c r="D529" s="32">
        <f>IFERROR(__xludf.DUMMYFUNCTION("FILTER(TATAELXSI.NS!H:H,TATAELXSI.NS!A:A=A529)"),0.018408720605550835)</f>
        <v>0.01840872061</v>
      </c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1">
        <f>IFERROR(__xludf.DUMMYFUNCTION("""COMPUTED_VALUE"""),45121.0)</f>
        <v>45121</v>
      </c>
      <c r="B530" s="32">
        <f>IFERROR(__xludf.DUMMYFUNCTION("FILTER(INFY.NS!H:H,INFY.NS!A:A=A530)"),0.044575471445177206)</f>
        <v>0.04457547145</v>
      </c>
      <c r="C530" s="32">
        <f>IFERROR(__xludf.DUMMYFUNCTION("FILTER(IRCTC.NS!H:H,IRCTC.NS!A:A=A530)"),0.00825572804532573)</f>
        <v>0.008255728045</v>
      </c>
      <c r="D530" s="32">
        <f>IFERROR(__xludf.DUMMYFUNCTION("FILTER(TATAELXSI.NS!H:H,TATAELXSI.NS!A:A=A530)"),0.021498298662425405)</f>
        <v>0.02149829866</v>
      </c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1">
        <f>IFERROR(__xludf.DUMMYFUNCTION("""COMPUTED_VALUE"""),45124.0)</f>
        <v>45124</v>
      </c>
      <c r="B531" s="32">
        <f>IFERROR(__xludf.DUMMYFUNCTION("FILTER(INFY.NS!H:H,INFY.NS!A:A=A531)"),-0.0021038606564670373)</f>
        <v>-0.002103860656</v>
      </c>
      <c r="C531" s="32">
        <f>IFERROR(__xludf.DUMMYFUNCTION("FILTER(IRCTC.NS!H:H,IRCTC.NS!A:A=A531)"),0.004334931530927787)</f>
        <v>0.004334931531</v>
      </c>
      <c r="D531" s="32">
        <f>IFERROR(__xludf.DUMMYFUNCTION("FILTER(TATAELXSI.NS!H:H,TATAELXSI.NS!A:A=A531)"),-0.0014552275005659217)</f>
        <v>-0.001455227501</v>
      </c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1">
        <f>IFERROR(__xludf.DUMMYFUNCTION("""COMPUTED_VALUE"""),45125.0)</f>
        <v>45125</v>
      </c>
      <c r="B532" s="32">
        <f>IFERROR(__xludf.DUMMYFUNCTION("FILTER(INFY.NS!H:H,INFY.NS!A:A=A532)"),0.03671949246231781)</f>
        <v>0.03671949246</v>
      </c>
      <c r="C532" s="32">
        <f>IFERROR(__xludf.DUMMYFUNCTION("FILTER(IRCTC.NS!H:H,IRCTC.NS!A:A=A532)"),-0.00431622100838409)</f>
        <v>-0.004316221008</v>
      </c>
      <c r="D532" s="32">
        <f>IFERROR(__xludf.DUMMYFUNCTION("FILTER(TATAELXSI.NS!H:H,TATAELXSI.NS!A:A=A532)"),-0.02289656065807371)</f>
        <v>-0.02289656066</v>
      </c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1">
        <f>IFERROR(__xludf.DUMMYFUNCTION("""COMPUTED_VALUE"""),45126.0)</f>
        <v>45126</v>
      </c>
      <c r="B533" s="32">
        <f>IFERROR(__xludf.DUMMYFUNCTION("FILTER(INFY.NS!H:H,INFY.NS!A:A=A533)"),-1.6946855226678353E-4)</f>
        <v>-0.0001694685523</v>
      </c>
      <c r="C533" s="32">
        <f>IFERROR(__xludf.DUMMYFUNCTION("FILTER(IRCTC.NS!H:H,IRCTC.NS!A:A=A533)"),0.00425467464415545)</f>
        <v>0.004254674644</v>
      </c>
      <c r="D533" s="32">
        <f>IFERROR(__xludf.DUMMYFUNCTION("FILTER(TATAELXSI.NS!H:H,TATAELXSI.NS!A:A=A533)"),0.0021411159060024674)</f>
        <v>0.002141115906</v>
      </c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1">
        <f>IFERROR(__xludf.DUMMYFUNCTION("""COMPUTED_VALUE"""),45127.0)</f>
        <v>45127</v>
      </c>
      <c r="B534" s="32">
        <f>IFERROR(__xludf.DUMMYFUNCTION("FILTER(INFY.NS!H:H,INFY.NS!A:A=A534)"),-0.017254789549126914)</f>
        <v>-0.01725478955</v>
      </c>
      <c r="C534" s="32">
        <f>IFERROR(__xludf.DUMMYFUNCTION("FILTER(IRCTC.NS!H:H,IRCTC.NS!A:A=A534)"),-5.595139888089043E-4)</f>
        <v>-0.0005595139888</v>
      </c>
      <c r="D534" s="32">
        <f>IFERROR(__xludf.DUMMYFUNCTION("FILTER(TATAELXSI.NS!H:H,TATAELXSI.NS!A:A=A534)"),-0.008546229985517866)</f>
        <v>-0.008546229986</v>
      </c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1">
        <f>IFERROR(__xludf.DUMMYFUNCTION("""COMPUTED_VALUE"""),45128.0)</f>
        <v>45128</v>
      </c>
      <c r="B535" s="32">
        <f>IFERROR(__xludf.DUMMYFUNCTION("FILTER(INFY.NS!H:H,INFY.NS!A:A=A535)"),-0.0813384091065885)</f>
        <v>-0.08133840911</v>
      </c>
      <c r="C535" s="32">
        <f>IFERROR(__xludf.DUMMYFUNCTION("FILTER(IRCTC.NS!H:H,IRCTC.NS!A:A=A535)"),-0.00327928964456068)</f>
        <v>-0.003279289645</v>
      </c>
      <c r="D535" s="32">
        <f>IFERROR(__xludf.DUMMYFUNCTION("FILTER(TATAELXSI.NS!H:H,TATAELXSI.NS!A:A=A535)"),-0.024478565279388336)</f>
        <v>-0.02447856528</v>
      </c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1">
        <f>IFERROR(__xludf.DUMMYFUNCTION("""COMPUTED_VALUE"""),45131.0)</f>
        <v>45131</v>
      </c>
      <c r="B536" s="32">
        <f>IFERROR(__xludf.DUMMYFUNCTION("FILTER(INFY.NS!H:H,INFY.NS!A:A=A536)"),0.0037548814134253186)</f>
        <v>0.003754881413</v>
      </c>
      <c r="C536" s="32">
        <f>IFERROR(__xludf.DUMMYFUNCTION("FILTER(IRCTC.NS!H:H,IRCTC.NS!A:A=A536)"),-0.004493641643150994)</f>
        <v>-0.004493641643</v>
      </c>
      <c r="D536" s="32">
        <f>IFERROR(__xludf.DUMMYFUNCTION("FILTER(TATAELXSI.NS!H:H,TATAELXSI.NS!A:A=A536)"),-0.007406786115723138)</f>
        <v>-0.007406786116</v>
      </c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1">
        <f>IFERROR(__xludf.DUMMYFUNCTION("""COMPUTED_VALUE"""),45132.0)</f>
        <v>45132</v>
      </c>
      <c r="B537" s="32">
        <f>IFERROR(__xludf.DUMMYFUNCTION("FILTER(INFY.NS!H:H,INFY.NS!A:A=A537)"),-0.0014963340086129105)</f>
        <v>-0.001496334009</v>
      </c>
      <c r="C537" s="32">
        <f>IFERROR(__xludf.DUMMYFUNCTION("FILTER(IRCTC.NS!H:H,IRCTC.NS!A:A=A537)"),-0.001370266026830827)</f>
        <v>-0.001370266027</v>
      </c>
      <c r="D537" s="32">
        <f>IFERROR(__xludf.DUMMYFUNCTION("FILTER(TATAELXSI.NS!H:H,TATAELXSI.NS!A:A=A537)"),-0.0038378458874723373)</f>
        <v>-0.003837845887</v>
      </c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1">
        <f>IFERROR(__xludf.DUMMYFUNCTION("""COMPUTED_VALUE"""),45133.0)</f>
        <v>45133</v>
      </c>
      <c r="B538" s="32">
        <f>IFERROR(__xludf.DUMMYFUNCTION("FILTER(INFY.NS!H:H,INFY.NS!A:A=A538)"),0.010677356703324262)</f>
        <v>0.0106773567</v>
      </c>
      <c r="C538" s="32">
        <f>IFERROR(__xludf.DUMMYFUNCTION("FILTER(IRCTC.NS!H:H,IRCTC.NS!A:A=A538)"),8.878650243693673E-4)</f>
        <v>0.0008878650244</v>
      </c>
      <c r="D538" s="32">
        <f>IFERROR(__xludf.DUMMYFUNCTION("FILTER(TATAELXSI.NS!H:H,TATAELXSI.NS!A:A=A538)"),-2.974059457387769E-4)</f>
        <v>-0.0002974059457</v>
      </c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1">
        <f>IFERROR(__xludf.DUMMYFUNCTION("""COMPUTED_VALUE"""),45134.0)</f>
        <v>45134</v>
      </c>
      <c r="B539" s="32">
        <f>IFERROR(__xludf.DUMMYFUNCTION("FILTER(INFY.NS!H:H,INFY.NS!A:A=A539)"),0.0031879364469811584)</f>
        <v>0.003187936447</v>
      </c>
      <c r="C539" s="32">
        <f>IFERROR(__xludf.DUMMYFUNCTION("FILTER(IRCTC.NS!H:H,IRCTC.NS!A:A=A539)"),-8.064516129032258E-4)</f>
        <v>-0.0008064516129</v>
      </c>
      <c r="D539" s="32">
        <f>IFERROR(__xludf.DUMMYFUNCTION("FILTER(TATAELXSI.NS!H:H,TATAELXSI.NS!A:A=A539)"),6.018805101405347E-4)</f>
        <v>0.0006018805101</v>
      </c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1">
        <f>IFERROR(__xludf.DUMMYFUNCTION("""COMPUTED_VALUE"""),45135.0)</f>
        <v>45135</v>
      </c>
      <c r="B540" s="32">
        <f>IFERROR(__xludf.DUMMYFUNCTION("FILTER(INFY.NS!H:H,INFY.NS!A:A=A540)"),-0.009348574641122003)</f>
        <v>-0.009348574641</v>
      </c>
      <c r="C540" s="32">
        <f>IFERROR(__xludf.DUMMYFUNCTION("FILTER(IRCTC.NS!H:H,IRCTC.NS!A:A=A540)"),0.01799842453591611)</f>
        <v>0.01799842454</v>
      </c>
      <c r="D540" s="32">
        <f>IFERROR(__xludf.DUMMYFUNCTION("FILTER(TATAELXSI.NS!H:H,TATAELXSI.NS!A:A=A540)"),-0.001106340049610542)</f>
        <v>-0.00110634005</v>
      </c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1">
        <f>IFERROR(__xludf.DUMMYFUNCTION("""COMPUTED_VALUE"""),45138.0)</f>
        <v>45138</v>
      </c>
      <c r="B541" s="32">
        <f>IFERROR(__xludf.DUMMYFUNCTION("FILTER(INFY.NS!H:H,INFY.NS!A:A=A541)"),0.011339016038791536)</f>
        <v>0.01133901604</v>
      </c>
      <c r="C541" s="32">
        <f>IFERROR(__xludf.DUMMYFUNCTION("FILTER(IRCTC.NS!H:H,IRCTC.NS!A:A=A541)"),0.015856655227844723)</f>
        <v>0.01585665523</v>
      </c>
      <c r="D541" s="32">
        <f>IFERROR(__xludf.DUMMYFUNCTION("FILTER(TATAELXSI.NS!H:H,TATAELXSI.NS!A:A=A541)"),-0.008812053733305186)</f>
        <v>-0.008812053733</v>
      </c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1">
        <f>IFERROR(__xludf.DUMMYFUNCTION("""COMPUTED_VALUE"""),45139.0)</f>
        <v>45139</v>
      </c>
      <c r="B542" s="32">
        <f>IFERROR(__xludf.DUMMYFUNCTION("FILTER(INFY.NS!H:H,INFY.NS!A:A=A542)"),0.007007450279092028)</f>
        <v>0.007007450279</v>
      </c>
      <c r="C542" s="32">
        <f>IFERROR(__xludf.DUMMYFUNCTION("FILTER(IRCTC.NS!H:H,IRCTC.NS!A:A=A542)"),0.003277883276876252)</f>
        <v>0.003277883277</v>
      </c>
      <c r="D542" s="32">
        <f>IFERROR(__xludf.DUMMYFUNCTION("FILTER(TATAELXSI.NS!H:H,TATAELXSI.NS!A:A=A542)"),0.003582688961519549)</f>
        <v>0.003582688962</v>
      </c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1">
        <f>IFERROR(__xludf.DUMMYFUNCTION("""COMPUTED_VALUE"""),45140.0)</f>
        <v>45140</v>
      </c>
      <c r="B543" s="32">
        <f>IFERROR(__xludf.DUMMYFUNCTION("FILTER(INFY.NS!H:H,INFY.NS!A:A=A543)"),-0.006116301860312684)</f>
        <v>-0.00611630186</v>
      </c>
      <c r="C543" s="32">
        <f>IFERROR(__xludf.DUMMYFUNCTION("FILTER(IRCTC.NS!H:H,IRCTC.NS!A:A=A543)"),-0.007779074290159471)</f>
        <v>-0.00777907429</v>
      </c>
      <c r="D543" s="32">
        <f>IFERROR(__xludf.DUMMYFUNCTION("FILTER(TATAELXSI.NS!H:H,TATAELXSI.NS!A:A=A543)"),2.9928672150668524E-4)</f>
        <v>0.0002992867215</v>
      </c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1">
        <f>IFERROR(__xludf.DUMMYFUNCTION("""COMPUTED_VALUE"""),45141.0)</f>
        <v>45141</v>
      </c>
      <c r="B544" s="32">
        <f>IFERROR(__xludf.DUMMYFUNCTION("FILTER(INFY.NS!H:H,INFY.NS!A:A=A544)"),0.005490712408723936)</f>
        <v>0.005490712409</v>
      </c>
      <c r="C544" s="32">
        <f>IFERROR(__xludf.DUMMYFUNCTION("FILTER(IRCTC.NS!H:H,IRCTC.NS!A:A=A544)"),0.03520190043120347)</f>
        <v>0.03520190043</v>
      </c>
      <c r="D544" s="32">
        <f>IFERROR(__xludf.DUMMYFUNCTION("FILTER(TATAELXSI.NS!H:H,TATAELXSI.NS!A:A=A544)"),-0.0025531634714678294)</f>
        <v>-0.002553163471</v>
      </c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1">
        <f>IFERROR(__xludf.DUMMYFUNCTION("""COMPUTED_VALUE"""),45142.0)</f>
        <v>45142</v>
      </c>
      <c r="B545" s="32">
        <f>IFERROR(__xludf.DUMMYFUNCTION("FILTER(INFY.NS!H:H,INFY.NS!A:A=A545)"),0.010298267606380498)</f>
        <v>0.01029826761</v>
      </c>
      <c r="C545" s="32">
        <f>IFERROR(__xludf.DUMMYFUNCTION("FILTER(IRCTC.NS!H:H,IRCTC.NS!A:A=A545)"),-0.0100727414103713)</f>
        <v>-0.01007274141</v>
      </c>
      <c r="D545" s="32">
        <f>IFERROR(__xludf.DUMMYFUNCTION("FILTER(TATAELXSI.NS!H:H,TATAELXSI.NS!A:A=A545)"),0.001897109970788018)</f>
        <v>0.001897109971</v>
      </c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1">
        <f>IFERROR(__xludf.DUMMYFUNCTION("""COMPUTED_VALUE"""),45145.0)</f>
        <v>45145</v>
      </c>
      <c r="B546" s="32">
        <f>IFERROR(__xludf.DUMMYFUNCTION("FILTER(INFY.NS!H:H,INFY.NS!A:A=A546)"),0.010628667794891035)</f>
        <v>0.01062866779</v>
      </c>
      <c r="C546" s="32">
        <f>IFERROR(__xludf.DUMMYFUNCTION("FILTER(IRCTC.NS!H:H,IRCTC.NS!A:A=A546)"),3.8252621006857094E-4)</f>
        <v>0.0003825262101</v>
      </c>
      <c r="D546" s="32">
        <f>IFERROR(__xludf.DUMMYFUNCTION("FILTER(TATAELXSI.NS!H:H,TATAELXSI.NS!A:A=A546)"),-6.33529349520291E-4)</f>
        <v>-0.0006335293495</v>
      </c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1">
        <f>IFERROR(__xludf.DUMMYFUNCTION("""COMPUTED_VALUE"""),45146.0)</f>
        <v>45146</v>
      </c>
      <c r="B547" s="32">
        <f>IFERROR(__xludf.DUMMYFUNCTION("FILTER(INFY.NS!H:H,INFY.NS!A:A=A547)"),-0.0020100854271356385)</f>
        <v>-0.002010085427</v>
      </c>
      <c r="C547" s="32">
        <f>IFERROR(__xludf.DUMMYFUNCTION("FILTER(IRCTC.NS!H:H,IRCTC.NS!A:A=A547)"),-0.017130639653667318)</f>
        <v>-0.01713063965</v>
      </c>
      <c r="D547" s="32">
        <f>IFERROR(__xludf.DUMMYFUNCTION("FILTER(TATAELXSI.NS!H:H,TATAELXSI.NS!A:A=A547)"),-0.0022151189368870795)</f>
        <v>-0.002215118937</v>
      </c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1">
        <f>IFERROR(__xludf.DUMMYFUNCTION("""COMPUTED_VALUE"""),45147.0)</f>
        <v>45147</v>
      </c>
      <c r="B548" s="32">
        <f>IFERROR(__xludf.DUMMYFUNCTION("FILTER(INFY.NS!H:H,INFY.NS!A:A=A548)"),0.0030212006531713472)</f>
        <v>0.003021200653</v>
      </c>
      <c r="C548" s="32">
        <f>IFERROR(__xludf.DUMMYFUNCTION("FILTER(IRCTC.NS!H:H,IRCTC.NS!A:A=A548)"),0.009414952110113464)</f>
        <v>0.00941495211</v>
      </c>
      <c r="D548" s="32">
        <f>IFERROR(__xludf.DUMMYFUNCTION("FILTER(TATAELXSI.NS!H:H,TATAELXSI.NS!A:A=A548)"),-2.8620566880754693E-4)</f>
        <v>-0.0002862056688</v>
      </c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1">
        <f>IFERROR(__xludf.DUMMYFUNCTION("""COMPUTED_VALUE"""),45148.0)</f>
        <v>45148</v>
      </c>
      <c r="B549" s="32">
        <f>IFERROR(__xludf.DUMMYFUNCTION("FILTER(INFY.NS!H:H,INFY.NS!A:A=A549)"),-0.0038009523155315586)</f>
        <v>-0.003800952316</v>
      </c>
      <c r="C549" s="32">
        <f>IFERROR(__xludf.DUMMYFUNCTION("FILTER(IRCTC.NS!H:H,IRCTC.NS!A:A=A549)"),-0.003391677975178823)</f>
        <v>-0.003391677975</v>
      </c>
      <c r="D549" s="32">
        <f>IFERROR(__xludf.DUMMYFUNCTION("FILTER(TATAELXSI.NS!H:H,TATAELXSI.NS!A:A=A549)"),-0.010495937534939891)</f>
        <v>-0.01049593753</v>
      </c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1">
        <f>IFERROR(__xludf.DUMMYFUNCTION("""COMPUTED_VALUE"""),45149.0)</f>
        <v>45149</v>
      </c>
      <c r="B550" s="32">
        <f>IFERROR(__xludf.DUMMYFUNCTION("FILTER(INFY.NS!H:H,INFY.NS!A:A=A550)"),-0.012418112661460446)</f>
        <v>-0.01241811266</v>
      </c>
      <c r="C550" s="32">
        <f>IFERROR(__xludf.DUMMYFUNCTION("FILTER(IRCTC.NS!H:H,IRCTC.NS!A:A=A550)"),0.02482788723345245)</f>
        <v>0.02482788723</v>
      </c>
      <c r="D550" s="32">
        <f>IFERROR(__xludf.DUMMYFUNCTION("FILTER(TATAELXSI.NS!H:H,TATAELXSI.NS!A:A=A550)"),0.004086240373308664)</f>
        <v>0.004086240373</v>
      </c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1">
        <f>IFERROR(__xludf.DUMMYFUNCTION("""COMPUTED_VALUE"""),45152.0)</f>
        <v>45152</v>
      </c>
      <c r="B551" s="32">
        <f>IFERROR(__xludf.DUMMYFUNCTION("FILTER(INFY.NS!H:H,INFY.NS!A:A=A551)"),0.015818109399449356)</f>
        <v>0.0158181094</v>
      </c>
      <c r="C551" s="32">
        <f>IFERROR(__xludf.DUMMYFUNCTION("FILTER(IRCTC.NS!H:H,IRCTC.NS!A:A=A551)"),-0.019396190188679198)</f>
        <v>-0.01939619019</v>
      </c>
      <c r="D551" s="32">
        <f>IFERROR(__xludf.DUMMYFUNCTION("FILTER(TATAELXSI.NS!H:H,TATAELXSI.NS!A:A=A551)"),-0.005665057810578056)</f>
        <v>-0.005665057811</v>
      </c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1">
        <f>IFERROR(__xludf.DUMMYFUNCTION("""COMPUTED_VALUE"""),45154.0)</f>
        <v>45154</v>
      </c>
      <c r="B552" s="32">
        <f>IFERROR(__xludf.DUMMYFUNCTION("FILTER(INFY.NS!H:H,INFY.NS!A:A=A552)"),0.01790387867152955)</f>
        <v>0.01790387867</v>
      </c>
      <c r="C552" s="32">
        <f>IFERROR(__xludf.DUMMYFUNCTION("FILTER(IRCTC.NS!H:H,IRCTC.NS!A:A=A552)"),-0.012776183627140234)</f>
        <v>-0.01277618363</v>
      </c>
      <c r="D552" s="32">
        <f>IFERROR(__xludf.DUMMYFUNCTION("FILTER(TATAELXSI.NS!H:H,TATAELXSI.NS!A:A=A552)"),-0.0011097974515392004)</f>
        <v>-0.001109797452</v>
      </c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1">
        <f>IFERROR(__xludf.DUMMYFUNCTION("""COMPUTED_VALUE"""),45155.0)</f>
        <v>45155</v>
      </c>
      <c r="B553" s="32">
        <f>IFERROR(__xludf.DUMMYFUNCTION("FILTER(INFY.NS!H:H,INFY.NS!A:A=A553)"),-0.004899507225942936)</f>
        <v>-0.004899507226</v>
      </c>
      <c r="C553" s="32">
        <f>IFERROR(__xludf.DUMMYFUNCTION("FILTER(IRCTC.NS!H:H,IRCTC.NS!A:A=A553)"),0.012083886006101606)</f>
        <v>0.01208388601</v>
      </c>
      <c r="D553" s="32">
        <f>IFERROR(__xludf.DUMMYFUNCTION("FILTER(TATAELXSI.NS!H:H,TATAELXSI.NS!A:A=A553)"),0.0020663633375080466)</f>
        <v>0.002066363338</v>
      </c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1">
        <f>IFERROR(__xludf.DUMMYFUNCTION("""COMPUTED_VALUE"""),45156.0)</f>
        <v>45156</v>
      </c>
      <c r="B554" s="32">
        <f>IFERROR(__xludf.DUMMYFUNCTION("FILTER(INFY.NS!H:H,INFY.NS!A:A=A554)"),-0.016117033906177847)</f>
        <v>-0.01611703391</v>
      </c>
      <c r="C554" s="32">
        <f>IFERROR(__xludf.DUMMYFUNCTION("FILTER(IRCTC.NS!H:H,IRCTC.NS!A:A=A554)"),-0.008781315992530462)</f>
        <v>-0.008781315993</v>
      </c>
      <c r="D554" s="32">
        <f>IFERROR(__xludf.DUMMYFUNCTION("FILTER(TATAELXSI.NS!H:H,TATAELXSI.NS!A:A=A554)"),-0.010176307309909368)</f>
        <v>-0.01017630731</v>
      </c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1">
        <f>IFERROR(__xludf.DUMMYFUNCTION("""COMPUTED_VALUE"""),45159.0)</f>
        <v>45159</v>
      </c>
      <c r="B555" s="32">
        <f>IFERROR(__xludf.DUMMYFUNCTION("FILTER(INFY.NS!H:H,INFY.NS!A:A=A555)"),0.011952746554086626)</f>
        <v>0.01195274655</v>
      </c>
      <c r="C555" s="32">
        <f>IFERROR(__xludf.DUMMYFUNCTION("FILTER(IRCTC.NS!H:H,IRCTC.NS!A:A=A555)"),0.011035088180226691)</f>
        <v>0.01103508818</v>
      </c>
      <c r="D555" s="32">
        <f>IFERROR(__xludf.DUMMYFUNCTION("FILTER(TATAELXSI.NS!H:H,TATAELXSI.NS!A:A=A555)"),0.00123426341059443)</f>
        <v>0.001234263411</v>
      </c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1">
        <f>IFERROR(__xludf.DUMMYFUNCTION("""COMPUTED_VALUE"""),45160.0)</f>
        <v>45160</v>
      </c>
      <c r="B556" s="32">
        <f>IFERROR(__xludf.DUMMYFUNCTION("FILTER(INFY.NS!H:H,INFY.NS!A:A=A556)"),-0.0011740600340277426)</f>
        <v>-0.001174060034</v>
      </c>
      <c r="C556" s="32">
        <f>IFERROR(__xludf.DUMMYFUNCTION("FILTER(IRCTC.NS!H:H,IRCTC.NS!A:A=A556)"),0.0018447532667179327)</f>
        <v>0.001844753267</v>
      </c>
      <c r="D556" s="32">
        <f>IFERROR(__xludf.DUMMYFUNCTION("FILTER(TATAELXSI.NS!H:H,TATAELXSI.NS!A:A=A556)"),0.0010332345515734719)</f>
        <v>0.001033234552</v>
      </c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1">
        <f>IFERROR(__xludf.DUMMYFUNCTION("""COMPUTED_VALUE"""),45161.0)</f>
        <v>45161</v>
      </c>
      <c r="B557" s="32">
        <f>IFERROR(__xludf.DUMMYFUNCTION("FILTER(INFY.NS!H:H,INFY.NS!A:A=A557)"),0.0029919508459483922)</f>
        <v>0.002991950846</v>
      </c>
      <c r="C557" s="32">
        <f>IFERROR(__xludf.DUMMYFUNCTION("FILTER(IRCTC.NS!H:H,IRCTC.NS!A:A=A557)"),-0.0031456006786140505)</f>
        <v>-0.003145600679</v>
      </c>
      <c r="D557" s="32">
        <f>IFERROR(__xludf.DUMMYFUNCTION("FILTER(TATAELXSI.NS!H:H,TATAELXSI.NS!A:A=A557)"),0.011773862272606758)</f>
        <v>0.01177386227</v>
      </c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1">
        <f>IFERROR(__xludf.DUMMYFUNCTION("""COMPUTED_VALUE"""),45162.0)</f>
        <v>45162</v>
      </c>
      <c r="B558" s="32">
        <f>IFERROR(__xludf.DUMMYFUNCTION("FILTER(INFY.NS!H:H,INFY.NS!A:A=A558)"),0.011115469686180567)</f>
        <v>0.01111546969</v>
      </c>
      <c r="C558" s="32">
        <f>IFERROR(__xludf.DUMMYFUNCTION("FILTER(IRCTC.NS!H:H,IRCTC.NS!A:A=A558)"),0.015315864900206543)</f>
        <v>0.0153158649</v>
      </c>
      <c r="D558" s="32">
        <f>IFERROR(__xludf.DUMMYFUNCTION("FILTER(TATAELXSI.NS!H:H,TATAELXSI.NS!A:A=A558)"),0.02418825792380485)</f>
        <v>0.02418825792</v>
      </c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1">
        <f>IFERROR(__xludf.DUMMYFUNCTION("""COMPUTED_VALUE"""),45163.0)</f>
        <v>45163</v>
      </c>
      <c r="B559" s="32">
        <f>IFERROR(__xludf.DUMMYFUNCTION("FILTER(INFY.NS!H:H,INFY.NS!A:A=A559)"),-0.002458555815541823)</f>
        <v>-0.002458555816</v>
      </c>
      <c r="C559" s="32">
        <f>IFERROR(__xludf.DUMMYFUNCTION("FILTER(IRCTC.NS!H:H,IRCTC.NS!A:A=A559)"),-0.0020466586554271945)</f>
        <v>-0.002046658655</v>
      </c>
      <c r="D559" s="32">
        <f>IFERROR(__xludf.DUMMYFUNCTION("FILTER(TATAELXSI.NS!H:H,TATAELXSI.NS!A:A=A559)"),0.0031324893087295294)</f>
        <v>0.003132489309</v>
      </c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1">
        <f>IFERROR(__xludf.DUMMYFUNCTION("""COMPUTED_VALUE"""),45166.0)</f>
        <v>45166</v>
      </c>
      <c r="B560" s="32">
        <f>IFERROR(__xludf.DUMMYFUNCTION("FILTER(INFY.NS!H:H,INFY.NS!A:A=A560)"),-0.003133548394623689)</f>
        <v>-0.003133548395</v>
      </c>
      <c r="C560" s="32">
        <f>IFERROR(__xludf.DUMMYFUNCTION("FILTER(IRCTC.NS!H:H,IRCTC.NS!A:A=A560)"),0.03015567945309528)</f>
        <v>0.03015567945</v>
      </c>
      <c r="D560" s="32">
        <f>IFERROR(__xludf.DUMMYFUNCTION("FILTER(TATAELXSI.NS!H:H,TATAELXSI.NS!A:A=A560)"),0.009956885969007115)</f>
        <v>0.009956885969</v>
      </c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1">
        <f>IFERROR(__xludf.DUMMYFUNCTION("""COMPUTED_VALUE"""),45167.0)</f>
        <v>45167</v>
      </c>
      <c r="B561" s="32">
        <f>IFERROR(__xludf.DUMMYFUNCTION("FILTER(INFY.NS!H:H,INFY.NS!A:A=A561)"),0.0014127785583253733)</f>
        <v>0.001412778558</v>
      </c>
      <c r="C561" s="32">
        <f>IFERROR(__xludf.DUMMYFUNCTION("FILTER(IRCTC.NS!H:H,IRCTC.NS!A:A=A561)"),-0.008258333871405373)</f>
        <v>-0.008258333871</v>
      </c>
      <c r="D561" s="32">
        <f>IFERROR(__xludf.DUMMYFUNCTION("FILTER(TATAELXSI.NS!H:H,TATAELXSI.NS!A:A=A561)"),0.0012476280143836676)</f>
        <v>0.001247628014</v>
      </c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1">
        <f>IFERROR(__xludf.DUMMYFUNCTION("""COMPUTED_VALUE"""),45168.0)</f>
        <v>45168</v>
      </c>
      <c r="B562" s="32">
        <f>IFERROR(__xludf.DUMMYFUNCTION("FILTER(INFY.NS!H:H,INFY.NS!A:A=A562)"),0.012344372520534023)</f>
        <v>0.01234437252</v>
      </c>
      <c r="C562" s="32">
        <f>IFERROR(__xludf.DUMMYFUNCTION("FILTER(IRCTC.NS!H:H,IRCTC.NS!A:A=A562)"),7.433159851298858E-5)</f>
        <v>0.00007433159851</v>
      </c>
      <c r="D562" s="32">
        <f>IFERROR(__xludf.DUMMYFUNCTION("FILTER(TATAELXSI.NS!H:H,TATAELXSI.NS!A:A=A562)"),0.0025326859422615125)</f>
        <v>0.002532685942</v>
      </c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1">
        <f>IFERROR(__xludf.DUMMYFUNCTION("""COMPUTED_VALUE"""),45169.0)</f>
        <v>45169</v>
      </c>
      <c r="B563" s="32">
        <f>IFERROR(__xludf.DUMMYFUNCTION("FILTER(INFY.NS!H:H,INFY.NS!A:A=A563)"),2.0898651359394405E-4)</f>
        <v>0.0002089865136</v>
      </c>
      <c r="C563" s="32">
        <f>IFERROR(__xludf.DUMMYFUNCTION("FILTER(IRCTC.NS!H:H,IRCTC.NS!A:A=A563)"),-8.177652365075722E-4)</f>
        <v>-0.0008177652365</v>
      </c>
      <c r="D563" s="32">
        <f>IFERROR(__xludf.DUMMYFUNCTION("FILTER(TATAELXSI.NS!H:H,TATAELXSI.NS!A:A=A563)"),-0.020933351042211716)</f>
        <v>-0.02093335104</v>
      </c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1">
        <f>IFERROR(__xludf.DUMMYFUNCTION("""COMPUTED_VALUE"""),45170.0)</f>
        <v>45170</v>
      </c>
      <c r="B564" s="32">
        <f>IFERROR(__xludf.DUMMYFUNCTION("FILTER(INFY.NS!H:H,INFY.NS!A:A=A564)"),0.005851841085889531)</f>
        <v>0.005851841086</v>
      </c>
      <c r="C564" s="32">
        <f>IFERROR(__xludf.DUMMYFUNCTION("FILTER(IRCTC.NS!H:H,IRCTC.NS!A:A=A564)"),0.024330321428571382)</f>
        <v>0.02433032143</v>
      </c>
      <c r="D564" s="32">
        <f>IFERROR(__xludf.DUMMYFUNCTION("FILTER(TATAELXSI.NS!H:H,TATAELXSI.NS!A:A=A564)"),0.005105490403011127)</f>
        <v>0.005105490403</v>
      </c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1">
        <f>IFERROR(__xludf.DUMMYFUNCTION("""COMPUTED_VALUE"""),45173.0)</f>
        <v>45173</v>
      </c>
      <c r="B565" s="32">
        <f>IFERROR(__xludf.DUMMYFUNCTION("FILTER(INFY.NS!H:H,INFY.NS!A:A=A565)"),0.014717595562712397)</f>
        <v>0.01471759556</v>
      </c>
      <c r="C565" s="32">
        <f>IFERROR(__xludf.DUMMYFUNCTION("FILTER(IRCTC.NS!H:H,IRCTC.NS!A:A=A565)"),0.02164600060943422)</f>
        <v>0.02164600061</v>
      </c>
      <c r="D565" s="32">
        <f>IFERROR(__xludf.DUMMYFUNCTION("FILTER(TATAELXSI.NS!H:H,TATAELXSI.NS!A:A=A565)"),0.004901045636344544)</f>
        <v>0.004901045636</v>
      </c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1">
        <f>IFERROR(__xludf.DUMMYFUNCTION("""COMPUTED_VALUE"""),45174.0)</f>
        <v>45174</v>
      </c>
      <c r="B566" s="32">
        <f>IFERROR(__xludf.DUMMYFUNCTION("FILTER(INFY.NS!H:H,INFY.NS!A:A=A566)"),0.009419185192860901)</f>
        <v>0.009419185193</v>
      </c>
      <c r="C566" s="32">
        <f>IFERROR(__xludf.DUMMYFUNCTION("FILTER(IRCTC.NS!H:H,IRCTC.NS!A:A=A566)"),-0.0019196246000710553)</f>
        <v>-0.0019196246</v>
      </c>
      <c r="D566" s="32">
        <f>IFERROR(__xludf.DUMMYFUNCTION("FILTER(TATAELXSI.NS!H:H,TATAELXSI.NS!A:A=A566)"),0.011680647323386736)</f>
        <v>0.01168064732</v>
      </c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1">
        <f>IFERROR(__xludf.DUMMYFUNCTION("""COMPUTED_VALUE"""),45175.0)</f>
        <v>45175</v>
      </c>
      <c r="B567" s="32">
        <f>IFERROR(__xludf.DUMMYFUNCTION("FILTER(INFY.NS!H:H,INFY.NS!A:A=A567)"),-9.80507793946709E-4)</f>
        <v>-0.0009805077939</v>
      </c>
      <c r="C567" s="32">
        <f>IFERROR(__xludf.DUMMYFUNCTION("FILTER(IRCTC.NS!H:H,IRCTC.NS!A:A=A567)"),0.009403014352938631)</f>
        <v>0.009403014353</v>
      </c>
      <c r="D567" s="32">
        <f>IFERROR(__xludf.DUMMYFUNCTION("FILTER(TATAELXSI.NS!H:H,TATAELXSI.NS!A:A=A567)"),-0.006630333854525057)</f>
        <v>-0.006630333855</v>
      </c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1">
        <f>IFERROR(__xludf.DUMMYFUNCTION("""COMPUTED_VALUE"""),45176.0)</f>
        <v>45176</v>
      </c>
      <c r="B568" s="32">
        <f>IFERROR(__xludf.DUMMYFUNCTION("FILTER(INFY.NS!H:H,INFY.NS!A:A=A568)"),-0.0076144711314149955)</f>
        <v>-0.007614471131</v>
      </c>
      <c r="C568" s="32">
        <f>IFERROR(__xludf.DUMMYFUNCTION("FILTER(IRCTC.NS!H:H,IRCTC.NS!A:A=A568)"),-0.0017642907551164433)</f>
        <v>-0.001764290755</v>
      </c>
      <c r="D568" s="32">
        <f>IFERROR(__xludf.DUMMYFUNCTION("FILTER(TATAELXSI.NS!H:H,TATAELXSI.NS!A:A=A568)"),0.005824965180953629)</f>
        <v>0.005824965181</v>
      </c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1">
        <f>IFERROR(__xludf.DUMMYFUNCTION("""COMPUTED_VALUE"""),45177.0)</f>
        <v>45177</v>
      </c>
      <c r="B569" s="32">
        <f>IFERROR(__xludf.DUMMYFUNCTION("FILTER(INFY.NS!H:H,INFY.NS!A:A=A569)"),0.0023189367846322578)</f>
        <v>0.002318936785</v>
      </c>
      <c r="C569" s="32">
        <f>IFERROR(__xludf.DUMMYFUNCTION("FILTER(IRCTC.NS!H:H,IRCTC.NS!A:A=A569)"),0.025874850477200402)</f>
        <v>0.02587485048</v>
      </c>
      <c r="D569" s="32">
        <f>IFERROR(__xludf.DUMMYFUNCTION("FILTER(TATAELXSI.NS!H:H,TATAELXSI.NS!A:A=A569)"),-0.004439706565808054)</f>
        <v>-0.004439706566</v>
      </c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1">
        <f>IFERROR(__xludf.DUMMYFUNCTION("""COMPUTED_VALUE"""),45180.0)</f>
        <v>45180</v>
      </c>
      <c r="B570" s="32">
        <f>IFERROR(__xludf.DUMMYFUNCTION("FILTER(INFY.NS!H:H,INFY.NS!A:A=A570)"),0.004661115345581692)</f>
        <v>0.004661115346</v>
      </c>
      <c r="C570" s="32">
        <f>IFERROR(__xludf.DUMMYFUNCTION("FILTER(IRCTC.NS!H:H,IRCTC.NS!A:A=A570)"),-0.011232808400239344)</f>
        <v>-0.0112328084</v>
      </c>
      <c r="D570" s="32">
        <f>IFERROR(__xludf.DUMMYFUNCTION("FILTER(TATAELXSI.NS!H:H,TATAELXSI.NS!A:A=A570)"),0.004880359757857458)</f>
        <v>0.004880359758</v>
      </c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1">
        <f>IFERROR(__xludf.DUMMYFUNCTION("""COMPUTED_VALUE"""),45181.0)</f>
        <v>45181</v>
      </c>
      <c r="B571" s="32">
        <f>IFERROR(__xludf.DUMMYFUNCTION("FILTER(INFY.NS!H:H,INFY.NS!A:A=A571)"),0.01669546941520398)</f>
        <v>0.01669546942</v>
      </c>
      <c r="C571" s="32">
        <f>IFERROR(__xludf.DUMMYFUNCTION("FILTER(IRCTC.NS!H:H,IRCTC.NS!A:A=A571)"),-0.04070255230434731)</f>
        <v>-0.0407025523</v>
      </c>
      <c r="D571" s="32">
        <f>IFERROR(__xludf.DUMMYFUNCTION("FILTER(TATAELXSI.NS!H:H,TATAELXSI.NS!A:A=A571)"),-0.0047688583002706425)</f>
        <v>-0.0047688583</v>
      </c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1">
        <f>IFERROR(__xludf.DUMMYFUNCTION("""COMPUTED_VALUE"""),45182.0)</f>
        <v>45182</v>
      </c>
      <c r="B572" s="32">
        <f>IFERROR(__xludf.DUMMYFUNCTION("FILTER(INFY.NS!H:H,INFY.NS!A:A=A572)"),-0.0018319899033826911)</f>
        <v>-0.001831989903</v>
      </c>
      <c r="C572" s="32">
        <f>IFERROR(__xludf.DUMMYFUNCTION("FILTER(IRCTC.NS!H:H,IRCTC.NS!A:A=A572)"),-0.0017436965694211804)</f>
        <v>-0.001743696569</v>
      </c>
      <c r="D572" s="32">
        <f>IFERROR(__xludf.DUMMYFUNCTION("FILTER(TATAELXSI.NS!H:H,TATAELXSI.NS!A:A=A572)"),-0.013906920140510749)</f>
        <v>-0.01390692014</v>
      </c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1">
        <f>IFERROR(__xludf.DUMMYFUNCTION("""COMPUTED_VALUE"""),45183.0)</f>
        <v>45183</v>
      </c>
      <c r="B573" s="32">
        <f>IFERROR(__xludf.DUMMYFUNCTION("FILTER(INFY.NS!H:H,INFY.NS!A:A=A573)"),0.005739630351887886)</f>
        <v>0.005739630352</v>
      </c>
      <c r="C573" s="32">
        <f>IFERROR(__xludf.DUMMYFUNCTION("FILTER(IRCTC.NS!H:H,IRCTC.NS!A:A=A573)"),0.013682713245997133)</f>
        <v>0.01368271325</v>
      </c>
      <c r="D573" s="32">
        <f>IFERROR(__xludf.DUMMYFUNCTION("FILTER(TATAELXSI.NS!H:H,TATAELXSI.NS!A:A=A573)"),0.006366664917120913)</f>
        <v>0.006366664917</v>
      </c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1">
        <f>IFERROR(__xludf.DUMMYFUNCTION("""COMPUTED_VALUE"""),45184.0)</f>
        <v>45184</v>
      </c>
      <c r="B574" s="32">
        <f>IFERROR(__xludf.DUMMYFUNCTION("FILTER(INFY.NS!H:H,INFY.NS!A:A=A574)"),0.003085719599986844)</f>
        <v>0.0030857196</v>
      </c>
      <c r="C574" s="32">
        <f>IFERROR(__xludf.DUMMYFUNCTION("FILTER(IRCTC.NS!H:H,IRCTC.NS!A:A=A574)"),-0.0010769672230798199)</f>
        <v>-0.001076967223</v>
      </c>
      <c r="D574" s="32">
        <f>IFERROR(__xludf.DUMMYFUNCTION("FILTER(TATAELXSI.NS!H:H,TATAELXSI.NS!A:A=A574)"),-0.010395792579153382)</f>
        <v>-0.01039579258</v>
      </c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1">
        <f>IFERROR(__xludf.DUMMYFUNCTION("""COMPUTED_VALUE"""),45187.0)</f>
        <v>45187</v>
      </c>
      <c r="B575" s="32">
        <f>IFERROR(__xludf.DUMMYFUNCTION("FILTER(INFY.NS!H:H,INFY.NS!A:A=A575)"),-0.013098655275448368)</f>
        <v>-0.01309865528</v>
      </c>
      <c r="C575" s="32">
        <f>IFERROR(__xludf.DUMMYFUNCTION("FILTER(IRCTC.NS!H:H,IRCTC.NS!A:A=A575)"),-0.009056346988640456)</f>
        <v>-0.009056346989</v>
      </c>
      <c r="D575" s="32">
        <f>IFERROR(__xludf.DUMMYFUNCTION("FILTER(TATAELXSI.NS!H:H,TATAELXSI.NS!A:A=A575)"),0.007394967375713656)</f>
        <v>0.007394967376</v>
      </c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1">
        <f>IFERROR(__xludf.DUMMYFUNCTION("""COMPUTED_VALUE"""),45189.0)</f>
        <v>45189</v>
      </c>
      <c r="B576" s="32">
        <f>IFERROR(__xludf.DUMMYFUNCTION("FILTER(INFY.NS!H:H,INFY.NS!A:A=A576)"),-0.001039046084653899)</f>
        <v>-0.001039046085</v>
      </c>
      <c r="C576" s="32">
        <f>IFERROR(__xludf.DUMMYFUNCTION("FILTER(IRCTC.NS!H:H,IRCTC.NS!A:A=A576)"),-0.015666915755430427)</f>
        <v>-0.01566691576</v>
      </c>
      <c r="D576" s="32">
        <f>IFERROR(__xludf.DUMMYFUNCTION("FILTER(TATAELXSI.NS!H:H,TATAELXSI.NS!A:A=A576)"),0.001886624202971834)</f>
        <v>0.001886624203</v>
      </c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1">
        <f>IFERROR(__xludf.DUMMYFUNCTION("""COMPUTED_VALUE"""),45190.0)</f>
        <v>45190</v>
      </c>
      <c r="B577" s="32">
        <f>IFERROR(__xludf.DUMMYFUNCTION("FILTER(INFY.NS!H:H,INFY.NS!A:A=A577)"),0.007716826035900017)</f>
        <v>0.007716826036</v>
      </c>
      <c r="C577" s="32">
        <f>IFERROR(__xludf.DUMMYFUNCTION("FILTER(IRCTC.NS!H:H,IRCTC.NS!A:A=A577)"),-0.010684548122046389)</f>
        <v>-0.01068454812</v>
      </c>
      <c r="D577" s="32">
        <f>IFERROR(__xludf.DUMMYFUNCTION("FILTER(TATAELXSI.NS!H:H,TATAELXSI.NS!A:A=A577)"),-0.0021843228767941775)</f>
        <v>-0.002184322877</v>
      </c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1">
        <f>IFERROR(__xludf.DUMMYFUNCTION("""COMPUTED_VALUE"""),45191.0)</f>
        <v>45191</v>
      </c>
      <c r="B578" s="32">
        <f>IFERROR(__xludf.DUMMYFUNCTION("FILTER(INFY.NS!H:H,INFY.NS!A:A=A578)"),-0.003728966871982667)</f>
        <v>-0.003728966872</v>
      </c>
      <c r="C578" s="32">
        <f>IFERROR(__xludf.DUMMYFUNCTION("FILTER(IRCTC.NS!H:H,IRCTC.NS!A:A=A578)"),-0.011842711369153212)</f>
        <v>-0.01184271137</v>
      </c>
      <c r="D578" s="32">
        <f>IFERROR(__xludf.DUMMYFUNCTION("FILTER(TATAELXSI.NS!H:H,TATAELXSI.NS!A:A=A578)"),-0.004268502551848758)</f>
        <v>-0.004268502552</v>
      </c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1">
        <f>IFERROR(__xludf.DUMMYFUNCTION("""COMPUTED_VALUE"""),45194.0)</f>
        <v>45194</v>
      </c>
      <c r="B579" s="32">
        <f>IFERROR(__xludf.DUMMYFUNCTION("FILTER(INFY.NS!H:H,INFY.NS!A:A=A579)"),-0.0147044077446073)</f>
        <v>-0.01470440774</v>
      </c>
      <c r="C579" s="32">
        <f>IFERROR(__xludf.DUMMYFUNCTION("FILTER(IRCTC.NS!H:H,IRCTC.NS!A:A=A579)"),0.03896892580878008)</f>
        <v>0.03896892581</v>
      </c>
      <c r="D579" s="32">
        <f>IFERROR(__xludf.DUMMYFUNCTION("FILTER(TATAELXSI.NS!H:H,TATAELXSI.NS!A:A=A579)"),0.0017781073110740531)</f>
        <v>0.001778107311</v>
      </c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1">
        <f>IFERROR(__xludf.DUMMYFUNCTION("""COMPUTED_VALUE"""),45195.0)</f>
        <v>45195</v>
      </c>
      <c r="B580" s="32">
        <f>IFERROR(__xludf.DUMMYFUNCTION("FILTER(INFY.NS!H:H,INFY.NS!A:A=A580)"),-0.009157819611445463)</f>
        <v>-0.009157819611</v>
      </c>
      <c r="C580" s="32">
        <f>IFERROR(__xludf.DUMMYFUNCTION("FILTER(IRCTC.NS!H:H,IRCTC.NS!A:A=A580)"),-0.01109986051480224)</f>
        <v>-0.01109986051</v>
      </c>
      <c r="D580" s="32">
        <f>IFERROR(__xludf.DUMMYFUNCTION("FILTER(TATAELXSI.NS!H:H,TATAELXSI.NS!A:A=A580)"),0.005937174778989386)</f>
        <v>0.005937174779</v>
      </c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1">
        <f>IFERROR(__xludf.DUMMYFUNCTION("""COMPUTED_VALUE"""),45196.0)</f>
        <v>45196</v>
      </c>
      <c r="B581" s="32">
        <f>IFERROR(__xludf.DUMMYFUNCTION("FILTER(INFY.NS!H:H,INFY.NS!A:A=A581)"),0.004347363088805159)</f>
        <v>0.004347363089</v>
      </c>
      <c r="C581" s="32">
        <f>IFERROR(__xludf.DUMMYFUNCTION("FILTER(IRCTC.NS!H:H,IRCTC.NS!A:A=A581)"),6.602773207003786E-4)</f>
        <v>0.0006602773207</v>
      </c>
      <c r="D581" s="32">
        <f>IFERROR(__xludf.DUMMYFUNCTION("FILTER(TATAELXSI.NS!H:H,TATAELXSI.NS!A:A=A581)"),-0.0012583549389703793)</f>
        <v>-0.001258354939</v>
      </c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1">
        <f>IFERROR(__xludf.DUMMYFUNCTION("""COMPUTED_VALUE"""),45197.0)</f>
        <v>45197</v>
      </c>
      <c r="B582" s="32">
        <f>IFERROR(__xludf.DUMMYFUNCTION("FILTER(INFY.NS!H:H,INFY.NS!A:A=A582)"),-0.01877985616905245)</f>
        <v>-0.01877985617</v>
      </c>
      <c r="C582" s="32">
        <f>IFERROR(__xludf.DUMMYFUNCTION("FILTER(IRCTC.NS!H:H,IRCTC.NS!A:A=A582)"),-0.014516164222873945)</f>
        <v>-0.01451616422</v>
      </c>
      <c r="D582" s="32">
        <f>IFERROR(__xludf.DUMMYFUNCTION("FILTER(TATAELXSI.NS!H:H,TATAELXSI.NS!A:A=A582)"),-0.010093566297130109)</f>
        <v>-0.0100935663</v>
      </c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1">
        <f>IFERROR(__xludf.DUMMYFUNCTION("""COMPUTED_VALUE"""),45198.0)</f>
        <v>45198</v>
      </c>
      <c r="B583" s="32">
        <f>IFERROR(__xludf.DUMMYFUNCTION("FILTER(INFY.NS!H:H,INFY.NS!A:A=A583)"),-0.0027788392345431396)</f>
        <v>-0.002778839235</v>
      </c>
      <c r="C583" s="32">
        <f>IFERROR(__xludf.DUMMYFUNCTION("FILTER(IRCTC.NS!H:H,IRCTC.NS!A:A=A583)"),0.01301889646251081)</f>
        <v>0.01301889646</v>
      </c>
      <c r="D583" s="32">
        <f>IFERROR(__xludf.DUMMYFUNCTION("FILTER(TATAELXSI.NS!H:H,TATAELXSI.NS!A:A=A583)"),-1.176117874930671E-4)</f>
        <v>-0.0001176117875</v>
      </c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1">
        <f>IFERROR(__xludf.DUMMYFUNCTION("""COMPUTED_VALUE"""),45202.0)</f>
        <v>45202</v>
      </c>
      <c r="B584" s="32">
        <f>IFERROR(__xludf.DUMMYFUNCTION("FILTER(INFY.NS!H:H,INFY.NS!A:A=A584)"),-0.0010101020930684162)</f>
        <v>-0.001010102093</v>
      </c>
      <c r="C584" s="32">
        <f>IFERROR(__xludf.DUMMYFUNCTION("FILTER(IRCTC.NS!H:H,IRCTC.NS!A:A=A584)"),0.03334069589509689)</f>
        <v>0.0333406959</v>
      </c>
      <c r="D584" s="32">
        <f>IFERROR(__xludf.DUMMYFUNCTION("FILTER(TATAELXSI.NS!H:H,TATAELXSI.NS!A:A=A584)"),-0.0022760987696474324)</f>
        <v>-0.00227609877</v>
      </c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1">
        <f>IFERROR(__xludf.DUMMYFUNCTION("""COMPUTED_VALUE"""),45203.0)</f>
        <v>45203</v>
      </c>
      <c r="B585" s="32">
        <f>IFERROR(__xludf.DUMMYFUNCTION("FILTER(INFY.NS!H:H,INFY.NS!A:A=A585)"),0.007217556485355627)</f>
        <v>0.007217556485</v>
      </c>
      <c r="C585" s="32">
        <f>IFERROR(__xludf.DUMMYFUNCTION("FILTER(IRCTC.NS!H:H,IRCTC.NS!A:A=A585)"),7.106815557219511E-4)</f>
        <v>0.0007106815557</v>
      </c>
      <c r="D585" s="32">
        <f>IFERROR(__xludf.DUMMYFUNCTION("FILTER(TATAELXSI.NS!H:H,TATAELXSI.NS!A:A=A585)"),0.009874173807610338)</f>
        <v>0.009874173808</v>
      </c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1">
        <f>IFERROR(__xludf.DUMMYFUNCTION("""COMPUTED_VALUE"""),45204.0)</f>
        <v>45204</v>
      </c>
      <c r="B586" s="32">
        <f>IFERROR(__xludf.DUMMYFUNCTION("FILTER(INFY.NS!H:H,INFY.NS!A:A=A586)"),0.013223924476321026)</f>
        <v>0.01322392448</v>
      </c>
      <c r="C586" s="32">
        <f>IFERROR(__xludf.DUMMYFUNCTION("FILTER(IRCTC.NS!H:H,IRCTC.NS!A:A=A586)"),0.021873480949480578)</f>
        <v>0.02187348095</v>
      </c>
      <c r="D586" s="32">
        <f>IFERROR(__xludf.DUMMYFUNCTION("FILTER(TATAELXSI.NS!H:H,TATAELXSI.NS!A:A=A586)"),-0.003391931684369336)</f>
        <v>-0.003391931684</v>
      </c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1">
        <f>IFERROR(__xludf.DUMMYFUNCTION("""COMPUTED_VALUE"""),45205.0)</f>
        <v>45205</v>
      </c>
      <c r="B587" s="32">
        <f>IFERROR(__xludf.DUMMYFUNCTION("FILTER(INFY.NS!H:H,INFY.NS!A:A=A587)"),0.01042058185152107)</f>
        <v>0.01042058185</v>
      </c>
      <c r="C587" s="32">
        <f>IFERROR(__xludf.DUMMYFUNCTION("FILTER(IRCTC.NS!H:H,IRCTC.NS!A:A=A587)"),4.864493629335983E-4)</f>
        <v>0.0004864493629</v>
      </c>
      <c r="D587" s="32">
        <f>IFERROR(__xludf.DUMMYFUNCTION("FILTER(TATAELXSI.NS!H:H,TATAELXSI.NS!A:A=A587)"),0.006276498343174016)</f>
        <v>0.006276498343</v>
      </c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1">
        <f>IFERROR(__xludf.DUMMYFUNCTION("""COMPUTED_VALUE"""),45208.0)</f>
        <v>45208</v>
      </c>
      <c r="B588" s="32">
        <f>IFERROR(__xludf.DUMMYFUNCTION("FILTER(INFY.NS!H:H,INFY.NS!A:A=A588)"),-0.0021978765859849547)</f>
        <v>-0.002197876586</v>
      </c>
      <c r="C588" s="32">
        <f>IFERROR(__xludf.DUMMYFUNCTION("FILTER(IRCTC.NS!H:H,IRCTC.NS!A:A=A588)"),-0.023548224899386933)</f>
        <v>-0.0235482249</v>
      </c>
      <c r="D588" s="32">
        <f>IFERROR(__xludf.DUMMYFUNCTION("FILTER(TATAELXSI.NS!H:H,TATAELXSI.NS!A:A=A588)"),-4.5874471945498465E-4)</f>
        <v>-0.0004587447195</v>
      </c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1">
        <f>IFERROR(__xludf.DUMMYFUNCTION("""COMPUTED_VALUE"""),45209.0)</f>
        <v>45209</v>
      </c>
      <c r="B589" s="32">
        <f>IFERROR(__xludf.DUMMYFUNCTION("FILTER(INFY.NS!H:H,INFY.NS!A:A=A589)"),0.013351908674806668)</f>
        <v>0.01335190867</v>
      </c>
      <c r="C589" s="32">
        <f>IFERROR(__xludf.DUMMYFUNCTION("FILTER(IRCTC.NS!H:H,IRCTC.NS!A:A=A589)"),0.004054970615806132)</f>
        <v>0.004054970616</v>
      </c>
      <c r="D589" s="32">
        <f>IFERROR(__xludf.DUMMYFUNCTION("FILTER(TATAELXSI.NS!H:H,TATAELXSI.NS!A:A=A589)"),0.00821985379696217)</f>
        <v>0.008219853797</v>
      </c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1">
        <f>IFERROR(__xludf.DUMMYFUNCTION("""COMPUTED_VALUE"""),45210.0)</f>
        <v>45210</v>
      </c>
      <c r="B590" s="32">
        <f>IFERROR(__xludf.DUMMYFUNCTION("FILTER(INFY.NS!H:H,INFY.NS!A:A=A590)"),-5.016219027930805E-4)</f>
        <v>-0.0005016219028</v>
      </c>
      <c r="C590" s="32">
        <f>IFERROR(__xludf.DUMMYFUNCTION("FILTER(IRCTC.NS!H:H,IRCTC.NS!A:A=A590)"),-0.0015587869934739996)</f>
        <v>-0.001558786993</v>
      </c>
      <c r="D590" s="32">
        <f>IFERROR(__xludf.DUMMYFUNCTION("FILTER(TATAELXSI.NS!H:H,TATAELXSI.NS!A:A=A590)"),-0.006019485907806321)</f>
        <v>-0.006019485908</v>
      </c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1">
        <f>IFERROR(__xludf.DUMMYFUNCTION("""COMPUTED_VALUE"""),45211.0)</f>
        <v>45211</v>
      </c>
      <c r="B591" s="32">
        <f>IFERROR(__xludf.DUMMYFUNCTION("FILTER(INFY.NS!H:H,INFY.NS!A:A=A591)"),-0.01933888084573534)</f>
        <v>-0.01933888085</v>
      </c>
      <c r="C591" s="32">
        <f>IFERROR(__xludf.DUMMYFUNCTION("FILTER(IRCTC.NS!H:H,IRCTC.NS!A:A=A591)"),-0.006173681731717757)</f>
        <v>-0.006173681732</v>
      </c>
      <c r="D591" s="32">
        <f>IFERROR(__xludf.DUMMYFUNCTION("FILTER(TATAELXSI.NS!H:H,TATAELXSI.NS!A:A=A591)"),0.005495441820541957)</f>
        <v>0.005495441821</v>
      </c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1">
        <f>IFERROR(__xludf.DUMMYFUNCTION("""COMPUTED_VALUE"""),45212.0)</f>
        <v>45212</v>
      </c>
      <c r="B592" s="32">
        <f>IFERROR(__xludf.DUMMYFUNCTION("FILTER(INFY.NS!H:H,INFY.NS!A:A=A592)"),-0.023439082906857707)</f>
        <v>-0.02343908291</v>
      </c>
      <c r="C592" s="32">
        <f>IFERROR(__xludf.DUMMYFUNCTION("FILTER(IRCTC.NS!H:H,IRCTC.NS!A:A=A592)"),0.005569473759371697)</f>
        <v>0.005569473759</v>
      </c>
      <c r="D592" s="32">
        <f>IFERROR(__xludf.DUMMYFUNCTION("FILTER(TATAELXSI.NS!H:H,TATAELXSI.NS!A:A=A592)"),0.012025369100505395)</f>
        <v>0.0120253691</v>
      </c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1">
        <f>IFERROR(__xludf.DUMMYFUNCTION("""COMPUTED_VALUE"""),45215.0)</f>
        <v>45215</v>
      </c>
      <c r="B593" s="32">
        <f>IFERROR(__xludf.DUMMYFUNCTION("FILTER(INFY.NS!H:H,INFY.NS!A:A=A593)"),0.0020962162943722242)</f>
        <v>0.002096216294</v>
      </c>
      <c r="C593" s="32">
        <f>IFERROR(__xludf.DUMMYFUNCTION("FILTER(IRCTC.NS!H:H,IRCTC.NS!A:A=A593)"),-0.001136189693575954)</f>
        <v>-0.001136189694</v>
      </c>
      <c r="D593" s="32">
        <f>IFERROR(__xludf.DUMMYFUNCTION("FILTER(TATAELXSI.NS!H:H,TATAELXSI.NS!A:A=A593)"),0.004473525440805998)</f>
        <v>0.004473525441</v>
      </c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1">
        <f>IFERROR(__xludf.DUMMYFUNCTION("""COMPUTED_VALUE"""),45216.0)</f>
        <v>45216</v>
      </c>
      <c r="B594" s="32">
        <f>IFERROR(__xludf.DUMMYFUNCTION("FILTER(INFY.NS!H:H,INFY.NS!A:A=A594)"),0.0057873492041304216)</f>
        <v>0.005787349204</v>
      </c>
      <c r="C594" s="32">
        <f>IFERROR(__xludf.DUMMYFUNCTION("FILTER(IRCTC.NS!H:H,IRCTC.NS!A:A=A594)"),0.015994882183659874)</f>
        <v>0.01599488218</v>
      </c>
      <c r="D594" s="32">
        <f>IFERROR(__xludf.DUMMYFUNCTION("FILTER(TATAELXSI.NS!H:H,TATAELXSI.NS!A:A=A594)"),-0.004239600888949778)</f>
        <v>-0.004239600889</v>
      </c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1">
        <f>IFERROR(__xludf.DUMMYFUNCTION("""COMPUTED_VALUE"""),45217.0)</f>
        <v>45217</v>
      </c>
      <c r="B595" s="32">
        <f>IFERROR(__xludf.DUMMYFUNCTION("FILTER(INFY.NS!H:H,INFY.NS!A:A=A595)"),-0.0013171354740474533)</f>
        <v>-0.001317135474</v>
      </c>
      <c r="C595" s="32">
        <f>IFERROR(__xludf.DUMMYFUNCTION("FILTER(IRCTC.NS!H:H,IRCTC.NS!A:A=A595)"),-0.015043381417633858)</f>
        <v>-0.01504338142</v>
      </c>
      <c r="D595" s="32">
        <f>IFERROR(__xludf.DUMMYFUNCTION("FILTER(TATAELXSI.NS!H:H,TATAELXSI.NS!A:A=A595)"),0.021966704298288623)</f>
        <v>0.0219667043</v>
      </c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1">
        <f>IFERROR(__xludf.DUMMYFUNCTION("""COMPUTED_VALUE"""),45218.0)</f>
        <v>45218</v>
      </c>
      <c r="B596" s="32">
        <f>IFERROR(__xludf.DUMMYFUNCTION("FILTER(INFY.NS!H:H,INFY.NS!A:A=A596)"),-0.004789854406509353)</f>
        <v>-0.004789854407</v>
      </c>
      <c r="C596" s="32">
        <f>IFERROR(__xludf.DUMMYFUNCTION("FILTER(IRCTC.NS!H:H,IRCTC.NS!A:A=A596)"),-0.005967112514329246)</f>
        <v>-0.005967112514</v>
      </c>
      <c r="D596" s="32">
        <f>IFERROR(__xludf.DUMMYFUNCTION("FILTER(TATAELXSI.NS!H:H,TATAELXSI.NS!A:A=A596)"),0.012505080133198936)</f>
        <v>0.01250508013</v>
      </c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1">
        <f>IFERROR(__xludf.DUMMYFUNCTION("""COMPUTED_VALUE"""),45219.0)</f>
        <v>45219</v>
      </c>
      <c r="B597" s="32">
        <f>IFERROR(__xludf.DUMMYFUNCTION("FILTER(INFY.NS!H:H,INFY.NS!A:A=A597)"),-0.004464146683542364)</f>
        <v>-0.004464146684</v>
      </c>
      <c r="C597" s="32">
        <f>IFERROR(__xludf.DUMMYFUNCTION("FILTER(IRCTC.NS!H:H,IRCTC.NS!A:A=A597)"),-0.010791178076197795)</f>
        <v>-0.01079117808</v>
      </c>
      <c r="D597" s="32">
        <f>IFERROR(__xludf.DUMMYFUNCTION("FILTER(TATAELXSI.NS!H:H,TATAELXSI.NS!A:A=A597)"),-0.018126817262962846)</f>
        <v>-0.01812681726</v>
      </c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1">
        <f>IFERROR(__xludf.DUMMYFUNCTION("""COMPUTED_VALUE"""),45222.0)</f>
        <v>45222</v>
      </c>
      <c r="B598" s="32">
        <f>IFERROR(__xludf.DUMMYFUNCTION("FILTER(INFY.NS!H:H,INFY.NS!A:A=A598)"),-0.01303203783499735)</f>
        <v>-0.01303203783</v>
      </c>
      <c r="C598" s="32">
        <f>IFERROR(__xludf.DUMMYFUNCTION("FILTER(IRCTC.NS!H:H,IRCTC.NS!A:A=A598)"),-0.03742228709454536)</f>
        <v>-0.03742228709</v>
      </c>
      <c r="D598" s="32">
        <f>IFERROR(__xludf.DUMMYFUNCTION("FILTER(TATAELXSI.NS!H:H,TATAELXSI.NS!A:A=A598)"),-0.030134539415311804)</f>
        <v>-0.03013453942</v>
      </c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1">
        <f>IFERROR(__xludf.DUMMYFUNCTION("""COMPUTED_VALUE"""),45224.0)</f>
        <v>45224</v>
      </c>
      <c r="B599" s="32">
        <f>IFERROR(__xludf.DUMMYFUNCTION("FILTER(INFY.NS!H:H,INFY.NS!A:A=A599)"),-0.027402104385297683)</f>
        <v>-0.02740210439</v>
      </c>
      <c r="C599" s="32">
        <f>IFERROR(__xludf.DUMMYFUNCTION("FILTER(IRCTC.NS!H:H,IRCTC.NS!A:A=A599)"),-0.012233599299304771)</f>
        <v>-0.0122335993</v>
      </c>
      <c r="D599" s="32">
        <f>IFERROR(__xludf.DUMMYFUNCTION("FILTER(TATAELXSI.NS!H:H,TATAELXSI.NS!A:A=A599)"),0.028460604168253287)</f>
        <v>0.02846060417</v>
      </c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1">
        <f>IFERROR(__xludf.DUMMYFUNCTION("""COMPUTED_VALUE"""),45225.0)</f>
        <v>45225</v>
      </c>
      <c r="B600" s="32">
        <f>IFERROR(__xludf.DUMMYFUNCTION("FILTER(INFY.NS!H:H,INFY.NS!A:A=A600)"),-0.007737015160677455)</f>
        <v>-0.007737015161</v>
      </c>
      <c r="C600" s="32">
        <f>IFERROR(__xludf.DUMMYFUNCTION("FILTER(IRCTC.NS!H:H,IRCTC.NS!A:A=A600)"),-0.01975533810054564)</f>
        <v>-0.0197553381</v>
      </c>
      <c r="D600" s="32">
        <f>IFERROR(__xludf.DUMMYFUNCTION("FILTER(TATAELXSI.NS!H:H,TATAELXSI.NS!A:A=A600)"),-0.010834631059275703)</f>
        <v>-0.01083463106</v>
      </c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1">
        <f>IFERROR(__xludf.DUMMYFUNCTION("""COMPUTED_VALUE"""),45226.0)</f>
        <v>45226</v>
      </c>
      <c r="B601" s="32">
        <f>IFERROR(__xludf.DUMMYFUNCTION("FILTER(INFY.NS!H:H,INFY.NS!A:A=A601)"),0.015373883374394203)</f>
        <v>0.01537388337</v>
      </c>
      <c r="C601" s="32">
        <f>IFERROR(__xludf.DUMMYFUNCTION("FILTER(IRCTC.NS!H:H,IRCTC.NS!A:A=A601)"),0.022168805931362928)</f>
        <v>0.02216880593</v>
      </c>
      <c r="D601" s="32">
        <f>IFERROR(__xludf.DUMMYFUNCTION("FILTER(TATAELXSI.NS!H:H,TATAELXSI.NS!A:A=A601)"),0.01850339626180745)</f>
        <v>0.01850339626</v>
      </c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1">
        <f>IFERROR(__xludf.DUMMYFUNCTION("""COMPUTED_VALUE"""),45229.0)</f>
        <v>45229</v>
      </c>
      <c r="B602" s="32">
        <f>IFERROR(__xludf.DUMMYFUNCTION("FILTER(INFY.NS!H:H,INFY.NS!A:A=A602)"),-0.0023906451678020134)</f>
        <v>-0.002390645168</v>
      </c>
      <c r="C602" s="32">
        <f>IFERROR(__xludf.DUMMYFUNCTION("FILTER(IRCTC.NS!H:H,IRCTC.NS!A:A=A602)"),0.005990766882199773)</f>
        <v>0.005990766882</v>
      </c>
      <c r="D602" s="32">
        <f>IFERROR(__xludf.DUMMYFUNCTION("FILTER(TATAELXSI.NS!H:H,TATAELXSI.NS!A:A=A602)"),0.004952891695776774)</f>
        <v>0.004952891696</v>
      </c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1">
        <f>IFERROR(__xludf.DUMMYFUNCTION("""COMPUTED_VALUE"""),45230.0)</f>
        <v>45230</v>
      </c>
      <c r="B603" s="32">
        <f>IFERROR(__xludf.DUMMYFUNCTION("FILTER(INFY.NS!H:H,INFY.NS!A:A=A603)"),-0.006281561811265666)</f>
        <v>-0.006281561811</v>
      </c>
      <c r="C603" s="32">
        <f>IFERROR(__xludf.DUMMYFUNCTION("FILTER(IRCTC.NS!H:H,IRCTC.NS!A:A=A603)"),0.003090589532771083)</f>
        <v>0.003090589533</v>
      </c>
      <c r="D603" s="32">
        <f>IFERROR(__xludf.DUMMYFUNCTION("FILTER(TATAELXSI.NS!H:H,TATAELXSI.NS!A:A=A603)"),-0.0018391602578786727)</f>
        <v>-0.001839160258</v>
      </c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1">
        <f>IFERROR(__xludf.DUMMYFUNCTION("""COMPUTED_VALUE"""),45231.0)</f>
        <v>45231</v>
      </c>
      <c r="B604" s="32">
        <f>IFERROR(__xludf.DUMMYFUNCTION("FILTER(INFY.NS!H:H,INFY.NS!A:A=A604)"),-0.010413621565385181)</f>
        <v>-0.01041362157</v>
      </c>
      <c r="C604" s="32">
        <f>IFERROR(__xludf.DUMMYFUNCTION("FILTER(IRCTC.NS!H:H,IRCTC.NS!A:A=A604)"),-0.018787105209123807)</f>
        <v>-0.01878710521</v>
      </c>
      <c r="D604" s="32">
        <f>IFERROR(__xludf.DUMMYFUNCTION("FILTER(TATAELXSI.NS!H:H,TATAELXSI.NS!A:A=A604)"),-0.018596271491072666)</f>
        <v>-0.01859627149</v>
      </c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1">
        <f>IFERROR(__xludf.DUMMYFUNCTION("""COMPUTED_VALUE"""),45232.0)</f>
        <v>45232</v>
      </c>
      <c r="B605" s="32">
        <f>IFERROR(__xludf.DUMMYFUNCTION("FILTER(INFY.NS!H:H,INFY.NS!A:A=A605)"),0.011815529827882644)</f>
        <v>0.01181552983</v>
      </c>
      <c r="C605" s="32">
        <f>IFERROR(__xludf.DUMMYFUNCTION("FILTER(IRCTC.NS!H:H,IRCTC.NS!A:A=A605)"),0.0037527948074857786)</f>
        <v>0.003752794807</v>
      </c>
      <c r="D605" s="32">
        <f>IFERROR(__xludf.DUMMYFUNCTION("FILTER(TATAELXSI.NS!H:H,TATAELXSI.NS!A:A=A605)"),0.0018039928611047519)</f>
        <v>0.001803992861</v>
      </c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1">
        <f>IFERROR(__xludf.DUMMYFUNCTION("""COMPUTED_VALUE"""),45233.0)</f>
        <v>45233</v>
      </c>
      <c r="B606" s="32">
        <f>IFERROR(__xludf.DUMMYFUNCTION("FILTER(INFY.NS!H:H,INFY.NS!A:A=A606)"),0.0137941281384818)</f>
        <v>0.01379412814</v>
      </c>
      <c r="C606" s="32">
        <f>IFERROR(__xludf.DUMMYFUNCTION("FILTER(IRCTC.NS!H:H,IRCTC.NS!A:A=A606)"),0.012665936444363226)</f>
        <v>0.01266593644</v>
      </c>
      <c r="D606" s="32">
        <f>IFERROR(__xludf.DUMMYFUNCTION("FILTER(TATAELXSI.NS!H:H,TATAELXSI.NS!A:A=A606)"),0.01601996819618199)</f>
        <v>0.0160199682</v>
      </c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1">
        <f>IFERROR(__xludf.DUMMYFUNCTION("""COMPUTED_VALUE"""),45236.0)</f>
        <v>45236</v>
      </c>
      <c r="B607" s="32">
        <f>IFERROR(__xludf.DUMMYFUNCTION("FILTER(INFY.NS!H:H,INFY.NS!A:A=A607)"),0.010258809616153722)</f>
        <v>0.01025880962</v>
      </c>
      <c r="C607" s="32">
        <f>IFERROR(__xludf.DUMMYFUNCTION("FILTER(IRCTC.NS!H:H,IRCTC.NS!A:A=A607)"),0.011904798501680523)</f>
        <v>0.0119047985</v>
      </c>
      <c r="D607" s="32">
        <f>IFERROR(__xludf.DUMMYFUNCTION("FILTER(TATAELXSI.NS!H:H,TATAELXSI.NS!A:A=A607)"),0.028173834580543507)</f>
        <v>0.02817383458</v>
      </c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1">
        <f>IFERROR(__xludf.DUMMYFUNCTION("""COMPUTED_VALUE"""),45237.0)</f>
        <v>45237</v>
      </c>
      <c r="B608" s="32">
        <f>IFERROR(__xludf.DUMMYFUNCTION("FILTER(INFY.NS!H:H,INFY.NS!A:A=A608)"),7.126059752599639E-4)</f>
        <v>0.0007126059753</v>
      </c>
      <c r="C608" s="32">
        <f>IFERROR(__xludf.DUMMYFUNCTION("FILTER(IRCTC.NS!H:H,IRCTC.NS!A:A=A608)"),0.014296315711094519)</f>
        <v>0.01429631571</v>
      </c>
      <c r="D608" s="32">
        <f>IFERROR(__xludf.DUMMYFUNCTION("FILTER(TATAELXSI.NS!H:H,TATAELXSI.NS!A:A=A608)"),0.04335637669838543)</f>
        <v>0.0433563767</v>
      </c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1">
        <f>IFERROR(__xludf.DUMMYFUNCTION("""COMPUTED_VALUE"""),45238.0)</f>
        <v>45238</v>
      </c>
      <c r="B609" s="32">
        <f>IFERROR(__xludf.DUMMYFUNCTION("FILTER(INFY.NS!H:H,INFY.NS!A:A=A609)"),-0.009470945336412179)</f>
        <v>-0.009470945336</v>
      </c>
      <c r="C609" s="32">
        <f>IFERROR(__xludf.DUMMYFUNCTION("FILTER(IRCTC.NS!H:H,IRCTC.NS!A:A=A609)"),-0.006166425118182561)</f>
        <v>-0.006166425118</v>
      </c>
      <c r="D609" s="32">
        <f>IFERROR(__xludf.DUMMYFUNCTION("FILTER(TATAELXSI.NS!H:H,TATAELXSI.NS!A:A=A609)"),0.00878095370425614)</f>
        <v>0.008780953704</v>
      </c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1">
        <f>IFERROR(__xludf.DUMMYFUNCTION("""COMPUTED_VALUE"""),45239.0)</f>
        <v>45239</v>
      </c>
      <c r="B610" s="32">
        <f>IFERROR(__xludf.DUMMYFUNCTION("FILTER(INFY.NS!H:H,INFY.NS!A:A=A610)"),-0.011646262401150291)</f>
        <v>-0.0116462624</v>
      </c>
      <c r="C610" s="32">
        <f>IFERROR(__xludf.DUMMYFUNCTION("FILTER(IRCTC.NS!H:H,IRCTC.NS!A:A=A610)"),-0.009381054476074365)</f>
        <v>-0.009381054476</v>
      </c>
      <c r="D610" s="32">
        <f>IFERROR(__xludf.DUMMYFUNCTION("FILTER(TATAELXSI.NS!H:H,TATAELXSI.NS!A:A=A610)"),-0.02329283139338122)</f>
        <v>-0.02329283139</v>
      </c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1">
        <f>IFERROR(__xludf.DUMMYFUNCTION("""COMPUTED_VALUE"""),45240.0)</f>
        <v>45240</v>
      </c>
      <c r="B611" s="32">
        <f>IFERROR(__xludf.DUMMYFUNCTION("FILTER(INFY.NS!H:H,INFY.NS!A:A=A611)"),-0.004327955184703354)</f>
        <v>-0.004327955185</v>
      </c>
      <c r="C611" s="32">
        <f>IFERROR(__xludf.DUMMYFUNCTION("FILTER(IRCTC.NS!H:H,IRCTC.NS!A:A=A611)"),0.0028335307344752804)</f>
        <v>0.002833530734</v>
      </c>
      <c r="D611" s="32">
        <f>IFERROR(__xludf.DUMMYFUNCTION("FILTER(TATAELXSI.NS!H:H,TATAELXSI.NS!A:A=A611)"),5.154582780204016E-4)</f>
        <v>0.000515458278</v>
      </c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1">
        <f>IFERROR(__xludf.DUMMYFUNCTION("""COMPUTED_VALUE"""),45243.0)</f>
        <v>45243</v>
      </c>
      <c r="B612" s="32">
        <f>IFERROR(__xludf.DUMMYFUNCTION("FILTER(INFY.NS!H:H,INFY.NS!A:A=A612)"),0.0034335924918042116)</f>
        <v>0.003433592492</v>
      </c>
      <c r="C612" s="32">
        <f>IFERROR(__xludf.DUMMYFUNCTION("FILTER(IRCTC.NS!H:H,IRCTC.NS!A:A=A612)"),-0.002156311954976982)</f>
        <v>-0.002156311955</v>
      </c>
      <c r="D612" s="32">
        <f>IFERROR(__xludf.DUMMYFUNCTION("FILTER(TATAELXSI.NS!H:H,TATAELXSI.NS!A:A=A612)"),0.003941626776819166)</f>
        <v>0.003941626777</v>
      </c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1">
        <f>IFERROR(__xludf.DUMMYFUNCTION("""COMPUTED_VALUE"""),45245.0)</f>
        <v>45245</v>
      </c>
      <c r="B613" s="32">
        <f>IFERROR(__xludf.DUMMYFUNCTION("FILTER(INFY.NS!H:H,INFY.NS!A:A=A613)"),0.0269010590672696)</f>
        <v>0.02690105907</v>
      </c>
      <c r="C613" s="32">
        <f>IFERROR(__xludf.DUMMYFUNCTION("FILTER(IRCTC.NS!H:H,IRCTC.NS!A:A=A613)"),0.009463451564828569)</f>
        <v>0.009463451565</v>
      </c>
      <c r="D613" s="32">
        <f>IFERROR(__xludf.DUMMYFUNCTION("FILTER(TATAELXSI.NS!H:H,TATAELXSI.NS!A:A=A613)"),0.013348938715319211)</f>
        <v>0.01334893872</v>
      </c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1">
        <f>IFERROR(__xludf.DUMMYFUNCTION("""COMPUTED_VALUE"""),45246.0)</f>
        <v>45246</v>
      </c>
      <c r="B614" s="32">
        <f>IFERROR(__xludf.DUMMYFUNCTION("FILTER(INFY.NS!H:H,INFY.NS!A:A=A614)"),0.0243885317263382)</f>
        <v>0.02438853173</v>
      </c>
      <c r="C614" s="32">
        <f>IFERROR(__xludf.DUMMYFUNCTION("FILTER(IRCTC.NS!H:H,IRCTC.NS!A:A=A614)"),0.0033956567232535945)</f>
        <v>0.003395656723</v>
      </c>
      <c r="D614" s="32">
        <f>IFERROR(__xludf.DUMMYFUNCTION("FILTER(TATAELXSI.NS!H:H,TATAELXSI.NS!A:A=A614)"),0.03226460734006519)</f>
        <v>0.03226460734</v>
      </c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1">
        <f>IFERROR(__xludf.DUMMYFUNCTION("""COMPUTED_VALUE"""),45247.0)</f>
        <v>45247</v>
      </c>
      <c r="B615" s="32">
        <f>IFERROR(__xludf.DUMMYFUNCTION("FILTER(INFY.NS!H:H,INFY.NS!A:A=A615)"),-0.005086839835224535)</f>
        <v>-0.005086839835</v>
      </c>
      <c r="C615" s="32">
        <f>IFERROR(__xludf.DUMMYFUNCTION("FILTER(IRCTC.NS!H:H,IRCTC.NS!A:A=A615)"),0.04075619954660656)</f>
        <v>0.04075619955</v>
      </c>
      <c r="D615" s="32">
        <f>IFERROR(__xludf.DUMMYFUNCTION("FILTER(TATAELXSI.NS!H:H,TATAELXSI.NS!A:A=A615)"),-0.018033818403595567)</f>
        <v>-0.0180338184</v>
      </c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1">
        <f>IFERROR(__xludf.DUMMYFUNCTION("""COMPUTED_VALUE"""),45250.0)</f>
        <v>45250</v>
      </c>
      <c r="B616" s="32">
        <f>IFERROR(__xludf.DUMMYFUNCTION("FILTER(INFY.NS!H:H,INFY.NS!A:A=A616)"),-6.608973375646102E-4)</f>
        <v>-0.0006608973376</v>
      </c>
      <c r="C616" s="32">
        <f>IFERROR(__xludf.DUMMYFUNCTION("FILTER(IRCTC.NS!H:H,IRCTC.NS!A:A=A616)"),-0.00855303344210474)</f>
        <v>-0.008553033442</v>
      </c>
      <c r="D616" s="32">
        <f>IFERROR(__xludf.DUMMYFUNCTION("FILTER(TATAELXSI.NS!H:H,TATAELXSI.NS!A:A=A616)"),-0.0026363873342677858)</f>
        <v>-0.002636387334</v>
      </c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1">
        <f>IFERROR(__xludf.DUMMYFUNCTION("""COMPUTED_VALUE"""),45251.0)</f>
        <v>45251</v>
      </c>
      <c r="B617" s="32">
        <f>IFERROR(__xludf.DUMMYFUNCTION("FILTER(INFY.NS!H:H,INFY.NS!A:A=A617)"),0.0016706278992726577)</f>
        <v>0.001670627899</v>
      </c>
      <c r="C617" s="32">
        <f>IFERROR(__xludf.DUMMYFUNCTION("FILTER(IRCTC.NS!H:H,IRCTC.NS!A:A=A617)"),0.01090834754156595)</f>
        <v>0.01090834754</v>
      </c>
      <c r="D617" s="32">
        <f>IFERROR(__xludf.DUMMYFUNCTION("FILTER(TATAELXSI.NS!H:H,TATAELXSI.NS!A:A=A617)"),0.016723574992323614)</f>
        <v>0.01672357499</v>
      </c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1">
        <f>IFERROR(__xludf.DUMMYFUNCTION("""COMPUTED_VALUE"""),45252.0)</f>
        <v>45252</v>
      </c>
      <c r="B618" s="32">
        <f>IFERROR(__xludf.DUMMYFUNCTION("FILTER(INFY.NS!H:H,INFY.NS!A:A=A618)"),0.013064662265462088)</f>
        <v>0.01306466227</v>
      </c>
      <c r="C618" s="32">
        <f>IFERROR(__xludf.DUMMYFUNCTION("FILTER(IRCTC.NS!H:H,IRCTC.NS!A:A=A618)"),-0.01262432026025555)</f>
        <v>-0.01262432026</v>
      </c>
      <c r="D618" s="32">
        <f>IFERROR(__xludf.DUMMYFUNCTION("FILTER(TATAELXSI.NS!H:H,TATAELXSI.NS!A:A=A618)"),-0.003983000029679822)</f>
        <v>-0.00398300003</v>
      </c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1">
        <f>IFERROR(__xludf.DUMMYFUNCTION("""COMPUTED_VALUE"""),45253.0)</f>
        <v>45253</v>
      </c>
      <c r="B619" s="32">
        <f>IFERROR(__xludf.DUMMYFUNCTION("FILTER(INFY.NS!H:H,INFY.NS!A:A=A619)"),-0.005865035473050628)</f>
        <v>-0.005865035473</v>
      </c>
      <c r="C619" s="32">
        <f>IFERROR(__xludf.DUMMYFUNCTION("FILTER(IRCTC.NS!H:H,IRCTC.NS!A:A=A619)"),0.0)</f>
        <v>0</v>
      </c>
      <c r="D619" s="32">
        <f>IFERROR(__xludf.DUMMYFUNCTION("FILTER(TATAELXSI.NS!H:H,TATAELXSI.NS!A:A=A619)"),-0.0011145316021627704)</f>
        <v>-0.001114531602</v>
      </c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1">
        <f>IFERROR(__xludf.DUMMYFUNCTION("""COMPUTED_VALUE"""),45254.0)</f>
        <v>45254</v>
      </c>
      <c r="B620" s="32">
        <f>IFERROR(__xludf.DUMMYFUNCTION("FILTER(INFY.NS!H:H,INFY.NS!A:A=A620)"),-0.00817662653096427)</f>
        <v>-0.008176626531</v>
      </c>
      <c r="C620" s="32">
        <f>IFERROR(__xludf.DUMMYFUNCTION("FILTER(IRCTC.NS!H:H,IRCTC.NS!A:A=A620)"),-0.01028573142857145)</f>
        <v>-0.01028573143</v>
      </c>
      <c r="D620" s="32">
        <f>IFERROR(__xludf.DUMMYFUNCTION("FILTER(TATAELXSI.NS!H:H,TATAELXSI.NS!A:A=A620)"),-0.005465142402986856)</f>
        <v>-0.005465142403</v>
      </c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1">
        <f>IFERROR(__xludf.DUMMYFUNCTION("""COMPUTED_VALUE"""),45258.0)</f>
        <v>45258</v>
      </c>
      <c r="B621" s="32">
        <f>IFERROR(__xludf.DUMMYFUNCTION("FILTER(INFY.NS!H:H,INFY.NS!A:A=A621)"),0.003687162175809192)</f>
        <v>0.003687162176</v>
      </c>
      <c r="C621" s="32">
        <f>IFERROR(__xludf.DUMMYFUNCTION("FILTER(IRCTC.NS!H:H,IRCTC.NS!A:A=A621)"),0.005773672155433121)</f>
        <v>0.005773672155</v>
      </c>
      <c r="D621" s="32">
        <f>IFERROR(__xludf.DUMMYFUNCTION("FILTER(TATAELXSI.NS!H:H,TATAELXSI.NS!A:A=A621)"),-0.00340145666692085)</f>
        <v>-0.003401456667</v>
      </c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1">
        <f>IFERROR(__xludf.DUMMYFUNCTION("""COMPUTED_VALUE"""),45259.0)</f>
        <v>45259</v>
      </c>
      <c r="B622" s="32">
        <f>IFERROR(__xludf.DUMMYFUNCTION("FILTER(INFY.NS!H:H,INFY.NS!A:A=A622)"),0.011714164811807022)</f>
        <v>0.01171416481</v>
      </c>
      <c r="C622" s="32">
        <f>IFERROR(__xludf.DUMMYFUNCTION("FILTER(IRCTC.NS!H:H,IRCTC.NS!A:A=A622)"),0.005310005831974864)</f>
        <v>0.005310005832</v>
      </c>
      <c r="D622" s="32">
        <f>IFERROR(__xludf.DUMMYFUNCTION("FILTER(TATAELXSI.NS!H:H,TATAELXSI.NS!A:A=A622)"),0.009914233712976518)</f>
        <v>0.009914233713</v>
      </c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1">
        <f>IFERROR(__xludf.DUMMYFUNCTION("""COMPUTED_VALUE"""),45260.0)</f>
        <v>45260</v>
      </c>
      <c r="B623" s="32">
        <f>IFERROR(__xludf.DUMMYFUNCTION("FILTER(INFY.NS!H:H,INFY.NS!A:A=A623)"),-0.003048747652212855)</f>
        <v>-0.003048747652</v>
      </c>
      <c r="C623" s="32">
        <f>IFERROR(__xludf.DUMMYFUNCTION("FILTER(IRCTC.NS!H:H,IRCTC.NS!A:A=A623)"),0.007494646680942184)</f>
        <v>0.007494646681</v>
      </c>
      <c r="D623" s="32">
        <f>IFERROR(__xludf.DUMMYFUNCTION("FILTER(TATAELXSI.NS!H:H,TATAELXSI.NS!A:A=A623)"),-0.016182773322641075)</f>
        <v>-0.01618277332</v>
      </c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1">
        <f>IFERROR(__xludf.DUMMYFUNCTION("""COMPUTED_VALUE"""),45261.0)</f>
        <v>45261</v>
      </c>
      <c r="B624" s="32">
        <f>IFERROR(__xludf.DUMMYFUNCTION("FILTER(INFY.NS!H:H,INFY.NS!A:A=A624)"),-0.0019585437604336567)</f>
        <v>-0.00195854376</v>
      </c>
      <c r="C624" s="32">
        <f>IFERROR(__xludf.DUMMYFUNCTION("FILTER(IRCTC.NS!H:H,IRCTC.NS!A:A=A624)"),-0.006305365922777209)</f>
        <v>-0.006305365923</v>
      </c>
      <c r="D624" s="32">
        <f>IFERROR(__xludf.DUMMYFUNCTION("FILTER(TATAELXSI.NS!H:H,TATAELXSI.NS!A:A=A624)"),0.02065362047153153)</f>
        <v>0.02065362047</v>
      </c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1">
        <f>IFERROR(__xludf.DUMMYFUNCTION("""COMPUTED_VALUE"""),45264.0)</f>
        <v>45264</v>
      </c>
      <c r="B625" s="32">
        <f>IFERROR(__xludf.DUMMYFUNCTION("FILTER(INFY.NS!H:H,INFY.NS!A:A=A625)"),0.008297133232417887)</f>
        <v>0.008297133232</v>
      </c>
      <c r="C625" s="32">
        <f>IFERROR(__xludf.DUMMYFUNCTION("FILTER(IRCTC.NS!H:H,IRCTC.NS!A:A=A625)"),0.02787678359407014)</f>
        <v>0.02787678359</v>
      </c>
      <c r="D625" s="32">
        <f>IFERROR(__xludf.DUMMYFUNCTION("FILTER(TATAELXSI.NS!H:H,TATAELXSI.NS!A:A=A625)"),-0.0024278271451042576)</f>
        <v>-0.002427827145</v>
      </c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1">
        <f>IFERROR(__xludf.DUMMYFUNCTION("""COMPUTED_VALUE"""),45265.0)</f>
        <v>45265</v>
      </c>
      <c r="B626" s="32">
        <f>IFERROR(__xludf.DUMMYFUNCTION("FILTER(INFY.NS!H:H,INFY.NS!A:A=A626)"),-0.007102144412504784)</f>
        <v>-0.007102144413</v>
      </c>
      <c r="C626" s="32">
        <f>IFERROR(__xludf.DUMMYFUNCTION("FILTER(IRCTC.NS!H:H,IRCTC.NS!A:A=A626)"),-0.007976694446057664)</f>
        <v>-0.007976694446</v>
      </c>
      <c r="D626" s="32">
        <f>IFERROR(__xludf.DUMMYFUNCTION("FILTER(TATAELXSI.NS!H:H,TATAELXSI.NS!A:A=A626)"),-0.0012734084172316869)</f>
        <v>-0.001273408417</v>
      </c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1">
        <f>IFERROR(__xludf.DUMMYFUNCTION("""COMPUTED_VALUE"""),45266.0)</f>
        <v>45266</v>
      </c>
      <c r="B627" s="32">
        <f>IFERROR(__xludf.DUMMYFUNCTION("FILTER(INFY.NS!H:H,INFY.NS!A:A=A627)"),0.013996422632019393)</f>
        <v>0.01399642263</v>
      </c>
      <c r="C627" s="32">
        <f>IFERROR(__xludf.DUMMYFUNCTION("FILTER(IRCTC.NS!H:H,IRCTC.NS!A:A=A627)"),0.03551954251498959)</f>
        <v>0.03551954251</v>
      </c>
      <c r="D627" s="32">
        <f>IFERROR(__xludf.DUMMYFUNCTION("FILTER(TATAELXSI.NS!H:H,TATAELXSI.NS!A:A=A627)"),0.0074415460861577305)</f>
        <v>0.007441546086</v>
      </c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1">
        <f>IFERROR(__xludf.DUMMYFUNCTION("""COMPUTED_VALUE"""),45267.0)</f>
        <v>45267</v>
      </c>
      <c r="B628" s="32">
        <f>IFERROR(__xludf.DUMMYFUNCTION("FILTER(INFY.NS!H:H,INFY.NS!A:A=A628)"),-0.005697635976948892)</f>
        <v>-0.005697635977</v>
      </c>
      <c r="C628" s="32">
        <f>IFERROR(__xludf.DUMMYFUNCTION("FILTER(IRCTC.NS!H:H,IRCTC.NS!A:A=A628)"),0.023362576637407137)</f>
        <v>0.02336257664</v>
      </c>
      <c r="D628" s="32">
        <f>IFERROR(__xludf.DUMMYFUNCTION("FILTER(TATAELXSI.NS!H:H,TATAELXSI.NS!A:A=A628)"),-0.01053865812551105)</f>
        <v>-0.01053865813</v>
      </c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1">
        <f>IFERROR(__xludf.DUMMYFUNCTION("""COMPUTED_VALUE"""),45268.0)</f>
        <v>45268</v>
      </c>
      <c r="B629" s="32">
        <f>IFERROR(__xludf.DUMMYFUNCTION("FILTER(INFY.NS!H:H,INFY.NS!A:A=A629)"),0.017224912740706796)</f>
        <v>0.01722491274</v>
      </c>
      <c r="C629" s="32">
        <f>IFERROR(__xludf.DUMMYFUNCTION("FILTER(IRCTC.NS!H:H,IRCTC.NS!A:A=A629)"),-0.01088677768625143)</f>
        <v>-0.01088677769</v>
      </c>
      <c r="D629" s="32">
        <f>IFERROR(__xludf.DUMMYFUNCTION("FILTER(TATAELXSI.NS!H:H,TATAELXSI.NS!A:A=A629)"),4.7745667081978616E-5)</f>
        <v>0.00004774566708</v>
      </c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1">
        <f>IFERROR(__xludf.DUMMYFUNCTION("""COMPUTED_VALUE"""),45271.0)</f>
        <v>45271</v>
      </c>
      <c r="B630" s="32">
        <f>IFERROR(__xludf.DUMMYFUNCTION("FILTER(INFY.NS!H:H,INFY.NS!A:A=A630)"),-0.0017771679290131777)</f>
        <v>-0.001777167929</v>
      </c>
      <c r="C630" s="32">
        <f>IFERROR(__xludf.DUMMYFUNCTION("FILTER(IRCTC.NS!H:H,IRCTC.NS!A:A=A630)"),0.01674336361939877)</f>
        <v>0.01674336362</v>
      </c>
      <c r="D630" s="32">
        <f>IFERROR(__xludf.DUMMYFUNCTION("FILTER(TATAELXSI.NS!H:H,TATAELXSI.NS!A:A=A630)"),0.009610547016468511)</f>
        <v>0.009610547016</v>
      </c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1">
        <f>IFERROR(__xludf.DUMMYFUNCTION("""COMPUTED_VALUE"""),45272.0)</f>
        <v>45272</v>
      </c>
      <c r="B631" s="32">
        <f>IFERROR(__xludf.DUMMYFUNCTION("FILTER(INFY.NS!H:H,INFY.NS!A:A=A631)"),-0.008364092038965439)</f>
        <v>-0.008364092039</v>
      </c>
      <c r="C631" s="32">
        <f>IFERROR(__xludf.DUMMYFUNCTION("FILTER(IRCTC.NS!H:H,IRCTC.NS!A:A=A631)"),0.011153392294556377)</f>
        <v>0.01115339229</v>
      </c>
      <c r="D631" s="32">
        <f>IFERROR(__xludf.DUMMYFUNCTION("FILTER(TATAELXSI.NS!H:H,TATAELXSI.NS!A:A=A631)"),0.053947064200088705)</f>
        <v>0.0539470642</v>
      </c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1">
        <f>IFERROR(__xludf.DUMMYFUNCTION("""COMPUTED_VALUE"""),45273.0)</f>
        <v>45273</v>
      </c>
      <c r="B632" s="32">
        <f>IFERROR(__xludf.DUMMYFUNCTION("FILTER(INFY.NS!H:H,INFY.NS!A:A=A632)"),-0.01832597005658847)</f>
        <v>-0.01832597006</v>
      </c>
      <c r="C632" s="32">
        <f>IFERROR(__xludf.DUMMYFUNCTION("FILTER(IRCTC.NS!H:H,IRCTC.NS!A:A=A632)"),0.009538069334172995)</f>
        <v>0.009538069334</v>
      </c>
      <c r="D632" s="32">
        <f>IFERROR(__xludf.DUMMYFUNCTION("FILTER(TATAELXSI.NS!H:H,TATAELXSI.NS!A:A=A632)"),-0.00484732350449856)</f>
        <v>-0.004847323504</v>
      </c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1">
        <f>IFERROR(__xludf.DUMMYFUNCTION("""COMPUTED_VALUE"""),45274.0)</f>
        <v>45274</v>
      </c>
      <c r="B633" s="32">
        <f>IFERROR(__xludf.DUMMYFUNCTION("FILTER(INFY.NS!H:H,INFY.NS!A:A=A633)"),0.03619734368530025)</f>
        <v>0.03619734369</v>
      </c>
      <c r="C633" s="32">
        <f>IFERROR(__xludf.DUMMYFUNCTION("FILTER(IRCTC.NS!H:H,IRCTC.NS!A:A=A633)"),0.016839097368636546)</f>
        <v>0.01683909737</v>
      </c>
      <c r="D633" s="32">
        <f>IFERROR(__xludf.DUMMYFUNCTION("FILTER(TATAELXSI.NS!H:H,TATAELXSI.NS!A:A=A633)"),0.014324864230280707)</f>
        <v>0.01432486423</v>
      </c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1">
        <f>IFERROR(__xludf.DUMMYFUNCTION("""COMPUTED_VALUE"""),45275.0)</f>
        <v>45275</v>
      </c>
      <c r="B634" s="32">
        <f>IFERROR(__xludf.DUMMYFUNCTION("FILTER(INFY.NS!H:H,INFY.NS!A:A=A634)"),0.05125050818293974)</f>
        <v>0.05125050818</v>
      </c>
      <c r="C634" s="32">
        <f>IFERROR(__xludf.DUMMYFUNCTION("FILTER(IRCTC.NS!H:H,IRCTC.NS!A:A=A634)"),-0.012894269837217942)</f>
        <v>-0.01289426984</v>
      </c>
      <c r="D634" s="32">
        <f>IFERROR(__xludf.DUMMYFUNCTION("FILTER(TATAELXSI.NS!H:H,TATAELXSI.NS!A:A=A634)"),0.007561969923519315)</f>
        <v>0.007561969924</v>
      </c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1">
        <f>IFERROR(__xludf.DUMMYFUNCTION("""COMPUTED_VALUE"""),45278.0)</f>
        <v>45278</v>
      </c>
      <c r="B635" s="32">
        <f>IFERROR(__xludf.DUMMYFUNCTION("FILTER(INFY.NS!H:H,INFY.NS!A:A=A635)"),-0.008901449433835069)</f>
        <v>-0.008901449434</v>
      </c>
      <c r="C635" s="32">
        <f>IFERROR(__xludf.DUMMYFUNCTION("FILTER(IRCTC.NS!H:H,IRCTC.NS!A:A=A635)"),0.125888520229653)</f>
        <v>0.1258885202</v>
      </c>
      <c r="D635" s="32">
        <f>IFERROR(__xludf.DUMMYFUNCTION("FILTER(TATAELXSI.NS!H:H,TATAELXSI.NS!A:A=A635)"),0.003727799047624086)</f>
        <v>0.003727799048</v>
      </c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1">
        <f>IFERROR(__xludf.DUMMYFUNCTION("""COMPUTED_VALUE"""),45279.0)</f>
        <v>45279</v>
      </c>
      <c r="B636" s="32">
        <f>IFERROR(__xludf.DUMMYFUNCTION("FILTER(INFY.NS!H:H,INFY.NS!A:A=A636)"),-0.0038673743681509956)</f>
        <v>-0.003867374368</v>
      </c>
      <c r="C636" s="32">
        <f>IFERROR(__xludf.DUMMYFUNCTION("FILTER(IRCTC.NS!H:H,IRCTC.NS!A:A=A636)"),0.00335545915881126)</f>
        <v>0.003355459159</v>
      </c>
      <c r="D636" s="32">
        <f>IFERROR(__xludf.DUMMYFUNCTION("FILTER(TATAELXSI.NS!H:H,TATAELXSI.NS!A:A=A636)"),-0.02053399693296655)</f>
        <v>-0.02053399693</v>
      </c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1">
        <f>IFERROR(__xludf.DUMMYFUNCTION("""COMPUTED_VALUE"""),45280.0)</f>
        <v>45280</v>
      </c>
      <c r="B637" s="32">
        <f>IFERROR(__xludf.DUMMYFUNCTION("FILTER(INFY.NS!H:H,INFY.NS!A:A=A637)"),-0.014053792152579157)</f>
        <v>-0.01405379215</v>
      </c>
      <c r="C637" s="32">
        <f>IFERROR(__xludf.DUMMYFUNCTION("FILTER(IRCTC.NS!H:H,IRCTC.NS!A:A=A637)"),-0.0758983718643701)</f>
        <v>-0.07589837186</v>
      </c>
      <c r="D637" s="32">
        <f>IFERROR(__xludf.DUMMYFUNCTION("FILTER(TATAELXSI.NS!H:H,TATAELXSI.NS!A:A=A637)"),-0.03285120815661593)</f>
        <v>-0.03285120816</v>
      </c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1">
        <f>IFERROR(__xludf.DUMMYFUNCTION("""COMPUTED_VALUE"""),45281.0)</f>
        <v>45281</v>
      </c>
      <c r="B638" s="32">
        <f>IFERROR(__xludf.DUMMYFUNCTION("FILTER(INFY.NS!H:H,INFY.NS!A:A=A638)"),-2.603644843473592E-4)</f>
        <v>-0.0002603644843</v>
      </c>
      <c r="C638" s="32">
        <f>IFERROR(__xludf.DUMMYFUNCTION("FILTER(IRCTC.NS!H:H,IRCTC.NS!A:A=A638)"),0.0651413536608078)</f>
        <v>0.06514135366</v>
      </c>
      <c r="D638" s="32">
        <f>IFERROR(__xludf.DUMMYFUNCTION("FILTER(TATAELXSI.NS!H:H,TATAELXSI.NS!A:A=A638)"),0.01883062298382062)</f>
        <v>0.01883062298</v>
      </c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1">
        <f>IFERROR(__xludf.DUMMYFUNCTION("""COMPUTED_VALUE"""),45282.0)</f>
        <v>45282</v>
      </c>
      <c r="B639" s="32">
        <f>IFERROR(__xludf.DUMMYFUNCTION("FILTER(INFY.NS!H:H,INFY.NS!A:A=A639)"),0.017513036458333353)</f>
        <v>0.01751303646</v>
      </c>
      <c r="C639" s="32">
        <f>IFERROR(__xludf.DUMMYFUNCTION("FILTER(IRCTC.NS!H:H,IRCTC.NS!A:A=A639)"),-0.008465276130146812)</f>
        <v>-0.00846527613</v>
      </c>
      <c r="D639" s="32">
        <f>IFERROR(__xludf.DUMMYFUNCTION("FILTER(TATAELXSI.NS!H:H,TATAELXSI.NS!A:A=A639)"),0.011424749445259211)</f>
        <v>0.01142474945</v>
      </c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1">
        <f>IFERROR(__xludf.DUMMYFUNCTION("""COMPUTED_VALUE"""),45286.0)</f>
        <v>45286</v>
      </c>
      <c r="B640" s="32">
        <f>IFERROR(__xludf.DUMMYFUNCTION("FILTER(INFY.NS!H:H,INFY.NS!A:A=A640)"),-0.012124942548468458)</f>
        <v>-0.01212494255</v>
      </c>
      <c r="C640" s="32">
        <f>IFERROR(__xludf.DUMMYFUNCTION("FILTER(IRCTC.NS!H:H,IRCTC.NS!A:A=A640)"),0.010337976247982952)</f>
        <v>0.01033797625</v>
      </c>
      <c r="D640" s="32">
        <f>IFERROR(__xludf.DUMMYFUNCTION("FILTER(TATAELXSI.NS!H:H,TATAELXSI.NS!A:A=A640)"),-0.001166835073389903)</f>
        <v>-0.001166835073</v>
      </c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1">
        <f>IFERROR(__xludf.DUMMYFUNCTION("""COMPUTED_VALUE"""),45287.0)</f>
        <v>45287</v>
      </c>
      <c r="B641" s="32">
        <f>IFERROR(__xludf.DUMMYFUNCTION("FILTER(INFY.NS!H:H,INFY.NS!A:A=A641)"),0.014994025541440567)</f>
        <v>0.01499402554</v>
      </c>
      <c r="C641" s="32">
        <f>IFERROR(__xludf.DUMMYFUNCTION("FILTER(IRCTC.NS!H:H,IRCTC.NS!A:A=A641)"),-0.002644272282974537)</f>
        <v>-0.002644272283</v>
      </c>
      <c r="D641" s="32">
        <f>IFERROR(__xludf.DUMMYFUNCTION("FILTER(TATAELXSI.NS!H:H,TATAELXSI.NS!A:A=A641)"),-0.006636322279616198)</f>
        <v>-0.00663632228</v>
      </c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1">
        <f>IFERROR(__xludf.DUMMYFUNCTION("""COMPUTED_VALUE"""),45288.0)</f>
        <v>45288</v>
      </c>
      <c r="B642" s="32">
        <f>IFERROR(__xludf.DUMMYFUNCTION("FILTER(INFY.NS!H:H,INFY.NS!A:A=A642)"),-0.002839609513209475)</f>
        <v>-0.002839609513</v>
      </c>
      <c r="C642" s="32">
        <f>IFERROR(__xludf.DUMMYFUNCTION("FILTER(IRCTC.NS!H:H,IRCTC.NS!A:A=A642)"),-0.003861643804034547)</f>
        <v>-0.003861643804</v>
      </c>
      <c r="D642" s="32">
        <f>IFERROR(__xludf.DUMMYFUNCTION("FILTER(TATAELXSI.NS!H:H,TATAELXSI.NS!A:A=A642)"),-0.004947998068511113)</f>
        <v>-0.004947998069</v>
      </c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1">
        <f>IFERROR(__xludf.DUMMYFUNCTION("""COMPUTED_VALUE"""),45289.0)</f>
        <v>45289</v>
      </c>
      <c r="B643" s="32">
        <f>IFERROR(__xludf.DUMMYFUNCTION("FILTER(INFY.NS!H:H,INFY.NS!A:A=A643)"),-0.012638786482365933)</f>
        <v>-0.01263878648</v>
      </c>
      <c r="C643" s="32">
        <f>IFERROR(__xludf.DUMMYFUNCTION("FILTER(IRCTC.NS!H:H,IRCTC.NS!A:A=A643)"),0.027020743333335796)</f>
        <v>0.02702074333</v>
      </c>
      <c r="D643" s="32">
        <f>IFERROR(__xludf.DUMMYFUNCTION("FILTER(TATAELXSI.NS!H:H,TATAELXSI.NS!A:A=A643)"),-5.138188616976944E-4)</f>
        <v>-0.0005138188617</v>
      </c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1">
        <f>IFERROR(__xludf.DUMMYFUNCTION("""COMPUTED_VALUE"""),45292.0)</f>
        <v>45292</v>
      </c>
      <c r="B644" s="32">
        <f>IFERROR(__xludf.DUMMYFUNCTION("FILTER(INFY.NS!H:H,INFY.NS!A:A=A644)"),0.0054766685258668055)</f>
        <v>0.005476668526</v>
      </c>
      <c r="C644" s="32">
        <f>IFERROR(__xludf.DUMMYFUNCTION("FILTER(IRCTC.NS!H:H,IRCTC.NS!A:A=A644)"),0.00490138140845067)</f>
        <v>0.004901381408</v>
      </c>
      <c r="D644" s="32">
        <f>IFERROR(__xludf.DUMMYFUNCTION("FILTER(TATAELXSI.NS!H:H,TATAELXSI.NS!A:A=A644)"),-0.0010567261815556603)</f>
        <v>-0.001056726182</v>
      </c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1">
        <f>IFERROR(__xludf.DUMMYFUNCTION("""COMPUTED_VALUE"""),45293.0)</f>
        <v>45293</v>
      </c>
      <c r="B645" s="32">
        <f>IFERROR(__xludf.DUMMYFUNCTION("FILTER(INFY.NS!H:H,INFY.NS!A:A=A645)"),-0.01092593693378182)</f>
        <v>-0.01092593693</v>
      </c>
      <c r="C645" s="32">
        <f>IFERROR(__xludf.DUMMYFUNCTION("FILTER(IRCTC.NS!H:H,IRCTC.NS!A:A=A645)"),-0.00633510584968604)</f>
        <v>-0.00633510585</v>
      </c>
      <c r="D645" s="32">
        <f>IFERROR(__xludf.DUMMYFUNCTION("FILTER(TATAELXSI.NS!H:H,TATAELXSI.NS!A:A=A645)"),-0.0037453396845519046)</f>
        <v>-0.003745339685</v>
      </c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1">
        <f>IFERROR(__xludf.DUMMYFUNCTION("""COMPUTED_VALUE"""),45294.0)</f>
        <v>45294</v>
      </c>
      <c r="B646" s="32">
        <f>IFERROR(__xludf.DUMMYFUNCTION("FILTER(INFY.NS!H:H,INFY.NS!A:A=A646)"),-0.028936407263768414)</f>
        <v>-0.02893640726</v>
      </c>
      <c r="C646" s="32">
        <f>IFERROR(__xludf.DUMMYFUNCTION("FILTER(IRCTC.NS!H:H,IRCTC.NS!A:A=A646)"),0.014725781791120067)</f>
        <v>0.01472578179</v>
      </c>
      <c r="D646" s="32">
        <f>IFERROR(__xludf.DUMMYFUNCTION("FILTER(TATAELXSI.NS!H:H,TATAELXSI.NS!A:A=A646)"),-0.011926876429785854)</f>
        <v>-0.01192687643</v>
      </c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1">
        <f>IFERROR(__xludf.DUMMYFUNCTION("""COMPUTED_VALUE"""),45295.0)</f>
        <v>45295</v>
      </c>
      <c r="B647" s="32">
        <f>IFERROR(__xludf.DUMMYFUNCTION("FILTER(INFY.NS!H:H,INFY.NS!A:A=A647)"),0.015234866442953058)</f>
        <v>0.01523486644</v>
      </c>
      <c r="C647" s="32">
        <f>IFERROR(__xludf.DUMMYFUNCTION("FILTER(IRCTC.NS!H:H,IRCTC.NS!A:A=A647)"),0.002557673616902958)</f>
        <v>0.002557673617</v>
      </c>
      <c r="D647" s="32">
        <f>IFERROR(__xludf.DUMMYFUNCTION("FILTER(TATAELXSI.NS!H:H,TATAELXSI.NS!A:A=A647)"),0.003729352339193192)</f>
        <v>0.003729352339</v>
      </c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1">
        <f>IFERROR(__xludf.DUMMYFUNCTION("""COMPUTED_VALUE"""),45296.0)</f>
        <v>45296</v>
      </c>
      <c r="B648" s="32">
        <f>IFERROR(__xludf.DUMMYFUNCTION("FILTER(INFY.NS!H:H,INFY.NS!A:A=A648)"),0.01312229698089009)</f>
        <v>0.01312229698</v>
      </c>
      <c r="C648" s="32">
        <f>IFERROR(__xludf.DUMMYFUNCTION("FILTER(IRCTC.NS!H:H,IRCTC.NS!A:A=A648)"),0.004825063565970615)</f>
        <v>0.004825063566</v>
      </c>
      <c r="D648" s="32">
        <f>IFERROR(__xludf.DUMMYFUNCTION("FILTER(TATAELXSI.NS!H:H,TATAELXSI.NS!A:A=A648)"),7.175311175159756E-4)</f>
        <v>0.0007175311175</v>
      </c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1">
        <f>IFERROR(__xludf.DUMMYFUNCTION("""COMPUTED_VALUE"""),45299.0)</f>
        <v>45299</v>
      </c>
      <c r="B649" s="32">
        <f>IFERROR(__xludf.DUMMYFUNCTION("FILTER(INFY.NS!H:H,INFY.NS!A:A=A649)"),-0.006361945573237198)</f>
        <v>-0.006361945573</v>
      </c>
      <c r="C649" s="32">
        <f>IFERROR(__xludf.DUMMYFUNCTION("FILTER(IRCTC.NS!H:H,IRCTC.NS!A:A=A649)"),0.011756224437410936)</f>
        <v>0.01175622444</v>
      </c>
      <c r="D649" s="32">
        <f>IFERROR(__xludf.DUMMYFUNCTION("FILTER(TATAELXSI.NS!H:H,TATAELXSI.NS!A:A=A649)"),-0.007136281660020436)</f>
        <v>-0.00713628166</v>
      </c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1">
        <f>IFERROR(__xludf.DUMMYFUNCTION("""COMPUTED_VALUE"""),45300.0)</f>
        <v>45300</v>
      </c>
      <c r="B650" s="32">
        <f>IFERROR(__xludf.DUMMYFUNCTION("FILTER(INFY.NS!H:H,INFY.NS!A:A=A650)"),0.004268452712664708)</f>
        <v>0.004268452713</v>
      </c>
      <c r="C650" s="32">
        <f>IFERROR(__xludf.DUMMYFUNCTION("FILTER(IRCTC.NS!H:H,IRCTC.NS!A:A=A650)"),0.002454857923144722)</f>
        <v>0.002454857923</v>
      </c>
      <c r="D650" s="32">
        <f>IFERROR(__xludf.DUMMYFUNCTION("FILTER(TATAELXSI.NS!H:H,TATAELXSI.NS!A:A=A650)"),0.006925463242388057)</f>
        <v>0.006925463242</v>
      </c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1">
        <f>IFERROR(__xludf.DUMMYFUNCTION("""COMPUTED_VALUE"""),45301.0)</f>
        <v>45301</v>
      </c>
      <c r="B651" s="32">
        <f>IFERROR(__xludf.DUMMYFUNCTION("FILTER(INFY.NS!H:H,INFY.NS!A:A=A651)"),-0.0061466191713957855)</f>
        <v>-0.006146619171</v>
      </c>
      <c r="C651" s="32">
        <f>IFERROR(__xludf.DUMMYFUNCTION("FILTER(IRCTC.NS!H:H,IRCTC.NS!A:A=A651)"),0.02492384011654997)</f>
        <v>0.02492384012</v>
      </c>
      <c r="D651" s="32">
        <f>IFERROR(__xludf.DUMMYFUNCTION("FILTER(TATAELXSI.NS!H:H,TATAELXSI.NS!A:A=A651)"),0.012940278478833766)</f>
        <v>0.01294027848</v>
      </c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1">
        <f>IFERROR(__xludf.DUMMYFUNCTION("""COMPUTED_VALUE"""),45302.0)</f>
        <v>45302</v>
      </c>
      <c r="B652" s="32">
        <f>IFERROR(__xludf.DUMMYFUNCTION("FILTER(INFY.NS!H:H,INFY.NS!A:A=A652)"),-0.016909054933997403)</f>
        <v>-0.01690905493</v>
      </c>
      <c r="C652" s="32">
        <f>IFERROR(__xludf.DUMMYFUNCTION("FILTER(IRCTC.NS!H:H,IRCTC.NS!A:A=A652)"),-0.0014866985050012193)</f>
        <v>-0.001486698505</v>
      </c>
      <c r="D652" s="32">
        <f>IFERROR(__xludf.DUMMYFUNCTION("FILTER(TATAELXSI.NS!H:H,TATAELXSI.NS!A:A=A652)"),-0.003957579476585542)</f>
        <v>-0.003957579477</v>
      </c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1">
        <f>IFERROR(__xludf.DUMMYFUNCTION("""COMPUTED_VALUE"""),45303.0)</f>
        <v>45303</v>
      </c>
      <c r="B653" s="32">
        <f>IFERROR(__xludf.DUMMYFUNCTION("FILTER(INFY.NS!H:H,INFY.NS!A:A=A653)"),0.07934015050707222)</f>
        <v>0.07934015051</v>
      </c>
      <c r="C653" s="32">
        <f>IFERROR(__xludf.DUMMYFUNCTION("FILTER(IRCTC.NS!H:H,IRCTC.NS!A:A=A653)"),0.011592070763697629)</f>
        <v>0.01159207076</v>
      </c>
      <c r="D653" s="32">
        <f>IFERROR(__xludf.DUMMYFUNCTION("FILTER(TATAELXSI.NS!H:H,TATAELXSI.NS!A:A=A653)"),0.001886317237848741)</f>
        <v>0.001886317238</v>
      </c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1">
        <f>IFERROR(__xludf.DUMMYFUNCTION("""COMPUTED_VALUE"""),45306.0)</f>
        <v>45306</v>
      </c>
      <c r="B654" s="32">
        <f>IFERROR(__xludf.DUMMYFUNCTION("FILTER(INFY.NS!H:H,INFY.NS!A:A=A654)"),0.02439930305379009)</f>
        <v>0.02439930305</v>
      </c>
      <c r="C654" s="32">
        <f>IFERROR(__xludf.DUMMYFUNCTION("FILTER(IRCTC.NS!H:H,IRCTC.NS!A:A=A654)"),0.01703113098783268)</f>
        <v>0.01703113099</v>
      </c>
      <c r="D654" s="32">
        <f>IFERROR(__xludf.DUMMYFUNCTION("FILTER(TATAELXSI.NS!H:H,TATAELXSI.NS!A:A=A654)"),-0.002357676500043009)</f>
        <v>-0.0023576765</v>
      </c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1">
        <f>IFERROR(__xludf.DUMMYFUNCTION("""COMPUTED_VALUE"""),45307.0)</f>
        <v>45307</v>
      </c>
      <c r="B655" s="32">
        <f>IFERROR(__xludf.DUMMYFUNCTION("FILTER(INFY.NS!H:H,INFY.NS!A:A=A655)"),-0.012438670358046192)</f>
        <v>-0.01243867036</v>
      </c>
      <c r="C655" s="32">
        <f>IFERROR(__xludf.DUMMYFUNCTION("FILTER(IRCTC.NS!H:H,IRCTC.NS!A:A=A655)"),-0.018348149224358505)</f>
        <v>-0.01834814922</v>
      </c>
      <c r="D655" s="32">
        <f>IFERROR(__xludf.DUMMYFUNCTION("FILTER(TATAELXSI.NS!H:H,TATAELXSI.NS!A:A=A655)"),-0.012860511890639009)</f>
        <v>-0.01286051189</v>
      </c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1">
        <f>IFERROR(__xludf.DUMMYFUNCTION("""COMPUTED_VALUE"""),45308.0)</f>
        <v>45308</v>
      </c>
      <c r="B656" s="32">
        <f>IFERROR(__xludf.DUMMYFUNCTION("FILTER(INFY.NS!H:H,INFY.NS!A:A=A656)"),0.005301646740963759)</f>
        <v>0.005301646741</v>
      </c>
      <c r="C656" s="32">
        <f>IFERROR(__xludf.DUMMYFUNCTION("FILTER(IRCTC.NS!H:H,IRCTC.NS!A:A=A656)"),-0.015742654264388263)</f>
        <v>-0.01574265426</v>
      </c>
      <c r="D656" s="32">
        <f>IFERROR(__xludf.DUMMYFUNCTION("FILTER(TATAELXSI.NS!H:H,TATAELXSI.NS!A:A=A656)"),-7.84468700044906E-4)</f>
        <v>-0.0007844687</v>
      </c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1">
        <f>IFERROR(__xludf.DUMMYFUNCTION("""COMPUTED_VALUE"""),45309.0)</f>
        <v>45309</v>
      </c>
      <c r="B657" s="32">
        <f>IFERROR(__xludf.DUMMYFUNCTION("FILTER(INFY.NS!H:H,INFY.NS!A:A=A657)"),0.001463251476465819)</f>
        <v>0.001463251476</v>
      </c>
      <c r="C657" s="32">
        <f>IFERROR(__xludf.DUMMYFUNCTION("FILTER(IRCTC.NS!H:H,IRCTC.NS!A:A=A657)"),-0.00797048454515267)</f>
        <v>-0.007970484545</v>
      </c>
      <c r="D657" s="32">
        <f>IFERROR(__xludf.DUMMYFUNCTION("FILTER(TATAELXSI.NS!H:H,TATAELXSI.NS!A:A=A657)"),-0.033392218533983546)</f>
        <v>-0.03339221853</v>
      </c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1">
        <f>IFERROR(__xludf.DUMMYFUNCTION("""COMPUTED_VALUE"""),45310.0)</f>
        <v>45310</v>
      </c>
      <c r="B658" s="32">
        <f>IFERROR(__xludf.DUMMYFUNCTION("FILTER(INFY.NS!H:H,INFY.NS!A:A=A658)"),0.010105914551651062)</f>
        <v>0.01010591455</v>
      </c>
      <c r="C658" s="32">
        <f>IFERROR(__xludf.DUMMYFUNCTION("FILTER(IRCTC.NS!H:H,IRCTC.NS!A:A=A658)"),0.060986775950390926)</f>
        <v>0.06098677595</v>
      </c>
      <c r="D658" s="32">
        <f>IFERROR(__xludf.DUMMYFUNCTION("FILTER(TATAELXSI.NS!H:H,TATAELXSI.NS!A:A=A658)"),-4.091580637266484E-4)</f>
        <v>-0.0004091580637</v>
      </c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1">
        <f>IFERROR(__xludf.DUMMYFUNCTION("""COMPUTED_VALUE"""),45314.0)</f>
        <v>45314</v>
      </c>
      <c r="B659" s="32">
        <f>IFERROR(__xludf.DUMMYFUNCTION("FILTER(INFY.NS!H:H,INFY.NS!A:A=A659)"),-0.010275992950532593)</f>
        <v>-0.01027599295</v>
      </c>
      <c r="C659" s="32">
        <f>IFERROR(__xludf.DUMMYFUNCTION("FILTER(IRCTC.NS!H:H,IRCTC.NS!A:A=A659)"),-0.049247827394769204)</f>
        <v>-0.04924782739</v>
      </c>
      <c r="D659" s="32">
        <f>IFERROR(__xludf.DUMMYFUNCTION("FILTER(TATAELXSI.NS!H:H,TATAELXSI.NS!A:A=A659)"),-0.013433921083819739)</f>
        <v>-0.01343392108</v>
      </c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1">
        <f>IFERROR(__xludf.DUMMYFUNCTION("""COMPUTED_VALUE"""),45315.0)</f>
        <v>45315</v>
      </c>
      <c r="B660" s="32">
        <f>IFERROR(__xludf.DUMMYFUNCTION("FILTER(INFY.NS!H:H,INFY.NS!A:A=A660)"),0.020247845515970957)</f>
        <v>0.02024784552</v>
      </c>
      <c r="C660" s="32">
        <f>IFERROR(__xludf.DUMMYFUNCTION("FILTER(IRCTC.NS!H:H,IRCTC.NS!A:A=A660)"),0.037686428507483063)</f>
        <v>0.03768642851</v>
      </c>
      <c r="D660" s="32">
        <f>IFERROR(__xludf.DUMMYFUNCTION("FILTER(TATAELXSI.NS!H:H,TATAELXSI.NS!A:A=A660)"),-0.05213099428169104)</f>
        <v>-0.05213099428</v>
      </c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1">
        <f>IFERROR(__xludf.DUMMYFUNCTION("""COMPUTED_VALUE"""),45316.0)</f>
        <v>45316</v>
      </c>
      <c r="B661" s="32">
        <f>IFERROR(__xludf.DUMMYFUNCTION("FILTER(INFY.NS!H:H,INFY.NS!A:A=A661)"),-0.003760324644713065)</f>
        <v>-0.003760324645</v>
      </c>
      <c r="C661" s="32">
        <f>IFERROR(__xludf.DUMMYFUNCTION("FILTER(IRCTC.NS!H:H,IRCTC.NS!A:A=A661)"),-3.090748067358131E-4)</f>
        <v>-0.0003090748067</v>
      </c>
      <c r="D661" s="32">
        <f>IFERROR(__xludf.DUMMYFUNCTION("FILTER(TATAELXSI.NS!H:H,TATAELXSI.NS!A:A=A661)"),-0.013039961698563769)</f>
        <v>-0.0130399617</v>
      </c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1">
        <f>IFERROR(__xludf.DUMMYFUNCTION("""COMPUTED_VALUE"""),45320.0)</f>
        <v>45320</v>
      </c>
      <c r="B662" s="32">
        <f>IFERROR(__xludf.DUMMYFUNCTION("FILTER(INFY.NS!H:H,INFY.NS!A:A=A662)"),-0.007489066071378339)</f>
        <v>-0.007489066071</v>
      </c>
      <c r="C662" s="32">
        <f>IFERROR(__xludf.DUMMYFUNCTION("FILTER(IRCTC.NS!H:H,IRCTC.NS!A:A=A662)"),0.0118520046812574)</f>
        <v>0.01185200468</v>
      </c>
      <c r="D662" s="32">
        <f>IFERROR(__xludf.DUMMYFUNCTION("FILTER(TATAELXSI.NS!H:H,TATAELXSI.NS!A:A=A662)"),0.003501965964301279)</f>
        <v>0.003501965964</v>
      </c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1">
        <f>IFERROR(__xludf.DUMMYFUNCTION("""COMPUTED_VALUE"""),45321.0)</f>
        <v>45321</v>
      </c>
      <c r="B663" s="32">
        <f>IFERROR(__xludf.DUMMYFUNCTION("FILTER(INFY.NS!H:H,INFY.NS!A:A=A663)"),-0.003108792149348621)</f>
        <v>-0.003108792149</v>
      </c>
      <c r="C663" s="32">
        <f>IFERROR(__xludf.DUMMYFUNCTION("FILTER(IRCTC.NS!H:H,IRCTC.NS!A:A=A663)"),-0.018079038721683097)</f>
        <v>-0.01807903872</v>
      </c>
      <c r="D663" s="32">
        <f>IFERROR(__xludf.DUMMYFUNCTION("FILTER(TATAELXSI.NS!H:H,TATAELXSI.NS!A:A=A663)"),-0.012893188848453386)</f>
        <v>-0.01289318885</v>
      </c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1">
        <f>IFERROR(__xludf.DUMMYFUNCTION("""COMPUTED_VALUE"""),45322.0)</f>
        <v>45322</v>
      </c>
      <c r="B664" s="32">
        <f>IFERROR(__xludf.DUMMYFUNCTION("FILTER(INFY.NS!H:H,INFY.NS!A:A=A664)"),0.005722288461892343)</f>
        <v>0.005722288462</v>
      </c>
      <c r="C664" s="32">
        <f>IFERROR(__xludf.DUMMYFUNCTION("FILTER(IRCTC.NS!H:H,IRCTC.NS!A:A=A664)"),0.01364039641479673)</f>
        <v>0.01364039641</v>
      </c>
      <c r="D664" s="32">
        <f>IFERROR(__xludf.DUMMYFUNCTION("FILTER(TATAELXSI.NS!H:H,TATAELXSI.NS!A:A=A664)"),0.001362787336828355)</f>
        <v>0.001362787337</v>
      </c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1">
        <f>IFERROR(__xludf.DUMMYFUNCTION("""COMPUTED_VALUE"""),45323.0)</f>
        <v>45323</v>
      </c>
      <c r="B665" s="32">
        <f>IFERROR(__xludf.DUMMYFUNCTION("FILTER(INFY.NS!H:H,INFY.NS!A:A=A665)"),-0.002318005264837112)</f>
        <v>-0.002318005265</v>
      </c>
      <c r="C665" s="32">
        <f>IFERROR(__xludf.DUMMYFUNCTION("FILTER(IRCTC.NS!H:H,IRCTC.NS!A:A=A665)"),-0.01422433875287348)</f>
        <v>-0.01422433875</v>
      </c>
      <c r="D665" s="32">
        <f>IFERROR(__xludf.DUMMYFUNCTION("FILTER(TATAELXSI.NS!H:H,TATAELXSI.NS!A:A=A665)"),0.004700762044229855)</f>
        <v>0.004700762044</v>
      </c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1">
        <f>IFERROR(__xludf.DUMMYFUNCTION("""COMPUTED_VALUE"""),45324.0)</f>
        <v>45324</v>
      </c>
      <c r="B666" s="32">
        <f>IFERROR(__xludf.DUMMYFUNCTION("FILTER(INFY.NS!H:H,INFY.NS!A:A=A666)"),0.021906355225604912)</f>
        <v>0.02190635523</v>
      </c>
      <c r="C666" s="32">
        <f>IFERROR(__xludf.DUMMYFUNCTION("FILTER(IRCTC.NS!H:H,IRCTC.NS!A:A=A666)"),0.004360024968670523)</f>
        <v>0.004360024969</v>
      </c>
      <c r="D666" s="32">
        <f>IFERROR(__xludf.DUMMYFUNCTION("FILTER(TATAELXSI.NS!H:H,TATAELXSI.NS!A:A=A666)"),1.3100289400949804E-5)</f>
        <v>0.0000131002894</v>
      </c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1">
        <f>IFERROR(__xludf.DUMMYFUNCTION("""COMPUTED_VALUE"""),45327.0)</f>
        <v>45327</v>
      </c>
      <c r="B667" s="32">
        <f>IFERROR(__xludf.DUMMYFUNCTION("FILTER(INFY.NS!H:H,INFY.NS!A:A=A667)"),-0.0036318688322938353)</f>
        <v>-0.003631868832</v>
      </c>
      <c r="C667" s="32">
        <f>IFERROR(__xludf.DUMMYFUNCTION("FILTER(IRCTC.NS!H:H,IRCTC.NS!A:A=A667)"),-0.021550362790697643)</f>
        <v>-0.02155036279</v>
      </c>
      <c r="D667" s="32">
        <f>IFERROR(__xludf.DUMMYFUNCTION("FILTER(TATAELXSI.NS!H:H,TATAELXSI.NS!A:A=A667)"),-0.005234916895694281)</f>
        <v>-0.005234916896</v>
      </c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1">
        <f>IFERROR(__xludf.DUMMYFUNCTION("""COMPUTED_VALUE"""),45328.0)</f>
        <v>45328</v>
      </c>
      <c r="B668" s="32">
        <f>IFERROR(__xludf.DUMMYFUNCTION("FILTER(INFY.NS!H:H,INFY.NS!A:A=A668)"),0.025041489584538282)</f>
        <v>0.02504148958</v>
      </c>
      <c r="C668" s="32">
        <f>IFERROR(__xludf.DUMMYFUNCTION("FILTER(IRCTC.NS!H:H,IRCTC.NS!A:A=A668)"),0.019648207392851627)</f>
        <v>0.01964820739</v>
      </c>
      <c r="D668" s="32">
        <f>IFERROR(__xludf.DUMMYFUNCTION("FILTER(TATAELXSI.NS!H:H,TATAELXSI.NS!A:A=A668)"),0.015892620049993377)</f>
        <v>0.01589262005</v>
      </c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1">
        <f>IFERROR(__xludf.DUMMYFUNCTION("""COMPUTED_VALUE"""),45329.0)</f>
        <v>45329</v>
      </c>
      <c r="B669" s="32">
        <f>IFERROR(__xludf.DUMMYFUNCTION("FILTER(INFY.NS!H:H,INFY.NS!A:A=A669)"),-0.02064237301539584)</f>
        <v>-0.02064237302</v>
      </c>
      <c r="C669" s="32">
        <f>IFERROR(__xludf.DUMMYFUNCTION("FILTER(IRCTC.NS!H:H,IRCTC.NS!A:A=A669)"),-0.010878010878010878)</f>
        <v>-0.01087801088</v>
      </c>
      <c r="D669" s="32">
        <f>IFERROR(__xludf.DUMMYFUNCTION("FILTER(TATAELXSI.NS!H:H,TATAELXSI.NS!A:A=A669)"),0.008851575892415987)</f>
        <v>0.008851575892</v>
      </c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1">
        <f>IFERROR(__xludf.DUMMYFUNCTION("""COMPUTED_VALUE"""),45330.0)</f>
        <v>45330</v>
      </c>
      <c r="B670" s="32">
        <f>IFERROR(__xludf.DUMMYFUNCTION("FILTER(INFY.NS!H:H,INFY.NS!A:A=A670)"),-9.741839114391323E-4)</f>
        <v>-0.0009741839114</v>
      </c>
      <c r="C670" s="32">
        <f>IFERROR(__xludf.DUMMYFUNCTION("FILTER(IRCTC.NS!H:H,IRCTC.NS!A:A=A670)"),-0.010892929039015481)</f>
        <v>-0.01089292904</v>
      </c>
      <c r="D670" s="32">
        <f>IFERROR(__xludf.DUMMYFUNCTION("FILTER(TATAELXSI.NS!H:H,TATAELXSI.NS!A:A=A670)"),-0.008183411205429201)</f>
        <v>-0.008183411205</v>
      </c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1">
        <f>IFERROR(__xludf.DUMMYFUNCTION("""COMPUTED_VALUE"""),45331.0)</f>
        <v>45331</v>
      </c>
      <c r="B671" s="32">
        <f>IFERROR(__xludf.DUMMYFUNCTION("FILTER(INFY.NS!H:H,INFY.NS!A:A=A671)"),-0.013444832056424544)</f>
        <v>-0.01344483206</v>
      </c>
      <c r="C671" s="32">
        <f>IFERROR(__xludf.DUMMYFUNCTION("FILTER(IRCTC.NS!H:H,IRCTC.NS!A:A=A671)"),-0.005506382307569349)</f>
        <v>-0.005506382308</v>
      </c>
      <c r="D671" s="32">
        <f>IFERROR(__xludf.DUMMYFUNCTION("FILTER(TATAELXSI.NS!H:H,TATAELXSI.NS!A:A=A671)"),-0.01256080519141633)</f>
        <v>-0.01256080519</v>
      </c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1">
        <f>IFERROR(__xludf.DUMMYFUNCTION("""COMPUTED_VALUE"""),45334.0)</f>
        <v>45334</v>
      </c>
      <c r="B672" s="32">
        <f>IFERROR(__xludf.DUMMYFUNCTION("FILTER(INFY.NS!H:H,INFY.NS!A:A=A672)"),0.006439632284752254)</f>
        <v>0.006439632285</v>
      </c>
      <c r="C672" s="32">
        <f>IFERROR(__xludf.DUMMYFUNCTION("FILTER(IRCTC.NS!H:H,IRCTC.NS!A:A=A672)"),-0.04158020231280967)</f>
        <v>-0.04158020231</v>
      </c>
      <c r="D672" s="32">
        <f>IFERROR(__xludf.DUMMYFUNCTION("FILTER(TATAELXSI.NS!H:H,TATAELXSI.NS!A:A=A672)"),-0.017137763809564267)</f>
        <v>-0.01713776381</v>
      </c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1">
        <f>IFERROR(__xludf.DUMMYFUNCTION("""COMPUTED_VALUE"""),45335.0)</f>
        <v>45335</v>
      </c>
      <c r="B673" s="32">
        <f>IFERROR(__xludf.DUMMYFUNCTION("FILTER(INFY.NS!H:H,INFY.NS!A:A=A673)"),0.0026486953535912526)</f>
        <v>0.002648695354</v>
      </c>
      <c r="C673" s="32">
        <f>IFERROR(__xludf.DUMMYFUNCTION("FILTER(IRCTC.NS!H:H,IRCTC.NS!A:A=A673)"),0.011498762666337462)</f>
        <v>0.01149876267</v>
      </c>
      <c r="D673" s="32">
        <f>IFERROR(__xludf.DUMMYFUNCTION("FILTER(TATAELXSI.NS!H:H,TATAELXSI.NS!A:A=A673)"),-0.007374748923435687)</f>
        <v>-0.007374748923</v>
      </c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1">
        <f>IFERROR(__xludf.DUMMYFUNCTION("""COMPUTED_VALUE"""),45336.0)</f>
        <v>45336</v>
      </c>
      <c r="B674" s="32">
        <f>IFERROR(__xludf.DUMMYFUNCTION("FILTER(INFY.NS!H:H,INFY.NS!A:A=A674)"),-0.01089317471504813)</f>
        <v>-0.01089317472</v>
      </c>
      <c r="C674" s="32">
        <f>IFERROR(__xludf.DUMMYFUNCTION("FILTER(IRCTC.NS!H:H,IRCTC.NS!A:A=A674)"),0.02059421138214011)</f>
        <v>0.02059421138</v>
      </c>
      <c r="D674" s="32">
        <f>IFERROR(__xludf.DUMMYFUNCTION("FILTER(TATAELXSI.NS!H:H,TATAELXSI.NS!A:A=A674)"),-0.0018472989615121382)</f>
        <v>-0.001847298962</v>
      </c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1">
        <f>IFERROR(__xludf.DUMMYFUNCTION("""COMPUTED_VALUE"""),45337.0)</f>
        <v>45337</v>
      </c>
      <c r="B675" s="32">
        <f>IFERROR(__xludf.DUMMYFUNCTION("FILTER(INFY.NS!H:H,INFY.NS!A:A=A675)"),0.006091720860937604)</f>
        <v>0.006091720861</v>
      </c>
      <c r="C675" s="32">
        <f>IFERROR(__xludf.DUMMYFUNCTION("FILTER(IRCTC.NS!H:H,IRCTC.NS!A:A=A675)"),0.023999125820071538)</f>
        <v>0.02399912582</v>
      </c>
      <c r="D675" s="32">
        <f>IFERROR(__xludf.DUMMYFUNCTION("FILTER(TATAELXSI.NS!H:H,TATAELXSI.NS!A:A=A675)"),0.00547144727028325)</f>
        <v>0.00547144727</v>
      </c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1">
        <f>IFERROR(__xludf.DUMMYFUNCTION("""COMPUTED_VALUE"""),45338.0)</f>
        <v>45338</v>
      </c>
      <c r="B676" s="32">
        <f>IFERROR(__xludf.DUMMYFUNCTION("FILTER(INFY.NS!H:H,INFY.NS!A:A=A676)"),0.015092342507361996)</f>
        <v>0.01509234251</v>
      </c>
      <c r="C676" s="32">
        <f>IFERROR(__xludf.DUMMYFUNCTION("FILTER(IRCTC.NS!H:H,IRCTC.NS!A:A=A676)"),-0.011403022595901176)</f>
        <v>-0.0114030226</v>
      </c>
      <c r="D676" s="32">
        <f>IFERROR(__xludf.DUMMYFUNCTION("FILTER(TATAELXSI.NS!H:H,TATAELXSI.NS!A:A=A676)"),0.00578967080814626)</f>
        <v>0.005789670808</v>
      </c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1">
        <f>IFERROR(__xludf.DUMMYFUNCTION("""COMPUTED_VALUE"""),45341.0)</f>
        <v>45341</v>
      </c>
      <c r="B677" s="32">
        <f>IFERROR(__xludf.DUMMYFUNCTION("FILTER(INFY.NS!H:H,INFY.NS!A:A=A677)"),-0.0011165774237958288)</f>
        <v>-0.001116577424</v>
      </c>
      <c r="C677" s="32">
        <f>IFERROR(__xludf.DUMMYFUNCTION("FILTER(IRCTC.NS!H:H,IRCTC.NS!A:A=A677)"),0.0066974834840380386)</f>
        <v>0.006697483484</v>
      </c>
      <c r="D677" s="32">
        <f>IFERROR(__xludf.DUMMYFUNCTION("FILTER(TATAELXSI.NS!H:H,TATAELXSI.NS!A:A=A677)"),0.025980036059851695)</f>
        <v>0.02598003606</v>
      </c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1">
        <f>IFERROR(__xludf.DUMMYFUNCTION("""COMPUTED_VALUE"""),45342.0)</f>
        <v>45342</v>
      </c>
      <c r="B678" s="32">
        <f>IFERROR(__xludf.DUMMYFUNCTION("FILTER(INFY.NS!H:H,INFY.NS!A:A=A678)"),-0.008530666274452125)</f>
        <v>-0.008530666274</v>
      </c>
      <c r="C678" s="32">
        <f>IFERROR(__xludf.DUMMYFUNCTION("FILTER(IRCTC.NS!H:H,IRCTC.NS!A:A=A678)"),0.005227321334043148)</f>
        <v>0.005227321334</v>
      </c>
      <c r="D678" s="32">
        <f>IFERROR(__xludf.DUMMYFUNCTION("FILTER(TATAELXSI.NS!H:H,TATAELXSI.NS!A:A=A678)"),0.00877584322287718)</f>
        <v>0.008775843223</v>
      </c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1">
        <f>IFERROR(__xludf.DUMMYFUNCTION("""COMPUTED_VALUE"""),45343.0)</f>
        <v>45343</v>
      </c>
      <c r="B679" s="32">
        <f>IFERROR(__xludf.DUMMYFUNCTION("FILTER(INFY.NS!H:H,INFY.NS!A:A=A679)"),-0.01762346892152503)</f>
        <v>-0.01762346892</v>
      </c>
      <c r="C679" s="32">
        <f>IFERROR(__xludf.DUMMYFUNCTION("FILTER(IRCTC.NS!H:H,IRCTC.NS!A:A=A679)"),-0.027471397563490374)</f>
        <v>-0.02747139756</v>
      </c>
      <c r="D679" s="32">
        <f>IFERROR(__xludf.DUMMYFUNCTION("FILTER(TATAELXSI.NS!H:H,TATAELXSI.NS!A:A=A679)"),-0.0038706853844094175)</f>
        <v>-0.003870685384</v>
      </c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1">
        <f>IFERROR(__xludf.DUMMYFUNCTION("""COMPUTED_VALUE"""),45344.0)</f>
        <v>45344</v>
      </c>
      <c r="B680" s="32">
        <f>IFERROR(__xludf.DUMMYFUNCTION("FILTER(INFY.NS!H:H,INFY.NS!A:A=A680)"),0.015583900357215975)</f>
        <v>0.01558390036</v>
      </c>
      <c r="C680" s="32">
        <f>IFERROR(__xludf.DUMMYFUNCTION("FILTER(IRCTC.NS!H:H,IRCTC.NS!A:A=A680)"),0.01069405779098032)</f>
        <v>0.01069405779</v>
      </c>
      <c r="D680" s="32">
        <f>IFERROR(__xludf.DUMMYFUNCTION("FILTER(TATAELXSI.NS!H:H,TATAELXSI.NS!A:A=A680)"),0.005789885217393261)</f>
        <v>0.005789885217</v>
      </c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1">
        <f>IFERROR(__xludf.DUMMYFUNCTION("""COMPUTED_VALUE"""),45345.0)</f>
        <v>45345</v>
      </c>
      <c r="B681" s="32">
        <f>IFERROR(__xludf.DUMMYFUNCTION("FILTER(INFY.NS!H:H,INFY.NS!A:A=A681)"),-0.002676420771543164)</f>
        <v>-0.002676420772</v>
      </c>
      <c r="C681" s="32">
        <f>IFERROR(__xludf.DUMMYFUNCTION("FILTER(IRCTC.NS!H:H,IRCTC.NS!A:A=A681)"),0.031208198846794384)</f>
        <v>0.03120819885</v>
      </c>
      <c r="D681" s="32">
        <f>IFERROR(__xludf.DUMMYFUNCTION("FILTER(TATAELXSI.NS!H:H,TATAELXSI.NS!A:A=A681)"),0.0027274886609456096)</f>
        <v>0.002727488661</v>
      </c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1">
        <f>IFERROR(__xludf.DUMMYFUNCTION("""COMPUTED_VALUE"""),45348.0)</f>
        <v>45348</v>
      </c>
      <c r="B682" s="32">
        <f>IFERROR(__xludf.DUMMYFUNCTION("FILTER(INFY.NS!H:H,INFY.NS!A:A=A682)"),-0.009959121113408383)</f>
        <v>-0.009959121113</v>
      </c>
      <c r="C682" s="32">
        <f>IFERROR(__xludf.DUMMYFUNCTION("FILTER(IRCTC.NS!H:H,IRCTC.NS!A:A=A682)"),0.0036793782332021955)</f>
        <v>0.003679378233</v>
      </c>
      <c r="D682" s="32">
        <f>IFERROR(__xludf.DUMMYFUNCTION("FILTER(TATAELXSI.NS!H:H,TATAELXSI.NS!A:A=A682)"),-0.013491533304001196)</f>
        <v>-0.0134915333</v>
      </c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1">
        <f>IFERROR(__xludf.DUMMYFUNCTION("""COMPUTED_VALUE"""),45349.0)</f>
        <v>45349</v>
      </c>
      <c r="B683" s="32">
        <f>IFERROR(__xludf.DUMMYFUNCTION("FILTER(INFY.NS!H:H,INFY.NS!A:A=A683)"),0.00207809652749789)</f>
        <v>0.002078096527</v>
      </c>
      <c r="C683" s="32">
        <f>IFERROR(__xludf.DUMMYFUNCTION("FILTER(IRCTC.NS!H:H,IRCTC.NS!A:A=A683)"),-0.016160701788665)</f>
        <v>-0.01616070179</v>
      </c>
      <c r="D683" s="32">
        <f>IFERROR(__xludf.DUMMYFUNCTION("FILTER(TATAELXSI.NS!H:H,TATAELXSI.NS!A:A=A683)"),-0.00860265539231863)</f>
        <v>-0.008602655392</v>
      </c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1">
        <f>IFERROR(__xludf.DUMMYFUNCTION("""COMPUTED_VALUE"""),45350.0)</f>
        <v>45350</v>
      </c>
      <c r="B684" s="32">
        <f>IFERROR(__xludf.DUMMYFUNCTION("FILTER(INFY.NS!H:H,INFY.NS!A:A=A684)"),0.004598475661435108)</f>
        <v>0.004598475661</v>
      </c>
      <c r="C684" s="32">
        <f>IFERROR(__xludf.DUMMYFUNCTION("FILTER(IRCTC.NS!H:H,IRCTC.NS!A:A=A684)"),-0.03012333980582526)</f>
        <v>-0.03012333981</v>
      </c>
      <c r="D684" s="32">
        <f>IFERROR(__xludf.DUMMYFUNCTION("FILTER(TATAELXSI.NS!H:H,TATAELXSI.NS!A:A=A684)"),-0.006144830955397003)</f>
        <v>-0.006144830955</v>
      </c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1">
        <f>IFERROR(__xludf.DUMMYFUNCTION("""COMPUTED_VALUE"""),45351.0)</f>
        <v>45351</v>
      </c>
      <c r="B685" s="32">
        <f>IFERROR(__xludf.DUMMYFUNCTION("FILTER(INFY.NS!H:H,INFY.NS!A:A=A685)"),0.0015856538519072733)</f>
        <v>0.001585653852</v>
      </c>
      <c r="C685" s="32">
        <f>IFERROR(__xludf.DUMMYFUNCTION("FILTER(IRCTC.NS!H:H,IRCTC.NS!A:A=A685)"),0.0036253839548776074)</f>
        <v>0.003625383955</v>
      </c>
      <c r="D685" s="32">
        <f>IFERROR(__xludf.DUMMYFUNCTION("FILTER(TATAELXSI.NS!H:H,TATAELXSI.NS!A:A=A685)"),0.028629171189830754)</f>
        <v>0.02862917119</v>
      </c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1">
        <f>IFERROR(__xludf.DUMMYFUNCTION("""COMPUTED_VALUE"""),45352.0)</f>
        <v>45352</v>
      </c>
      <c r="B686" s="32">
        <f>IFERROR(__xludf.DUMMYFUNCTION("FILTER(INFY.NS!H:H,INFY.NS!A:A=A686)"),-0.011470262694733061)</f>
        <v>-0.01147026269</v>
      </c>
      <c r="C686" s="32">
        <f>IFERROR(__xludf.DUMMYFUNCTION("FILTER(IRCTC.NS!H:H,IRCTC.NS!A:A=A686)"),0.0020486995372343817)</f>
        <v>0.002048699537</v>
      </c>
      <c r="D686" s="32">
        <f>IFERROR(__xludf.DUMMYFUNCTION("FILTER(TATAELXSI.NS!H:H,TATAELXSI.NS!A:A=A686)"),-0.008423938733290365)</f>
        <v>-0.008423938733</v>
      </c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1">
        <f>IFERROR(__xludf.DUMMYFUNCTION("""COMPUTED_VALUE"""),45355.0)</f>
        <v>45355</v>
      </c>
      <c r="B687" s="32">
        <f>IFERROR(__xludf.DUMMYFUNCTION("FILTER(INFY.NS!H:H,INFY.NS!A:A=A687)"),-0.010575935528023715)</f>
        <v>-0.01057593553</v>
      </c>
      <c r="C687" s="32">
        <f>IFERROR(__xludf.DUMMYFUNCTION("FILTER(IRCTC.NS!H:H,IRCTC.NS!A:A=A687)"),0.009361898323838153)</f>
        <v>0.009361898324</v>
      </c>
      <c r="D687" s="32">
        <f>IFERROR(__xludf.DUMMYFUNCTION("FILTER(TATAELXSI.NS!H:H,TATAELXSI.NS!A:A=A687)"),-0.0067589939640424635)</f>
        <v>-0.006758993964</v>
      </c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1">
        <f>IFERROR(__xludf.DUMMYFUNCTION("""COMPUTED_VALUE"""),45356.0)</f>
        <v>45356</v>
      </c>
      <c r="B688" s="32">
        <f>IFERROR(__xludf.DUMMYFUNCTION("FILTER(INFY.NS!H:H,INFY.NS!A:A=A688)"),-0.01875149762938153)</f>
        <v>-0.01875149763</v>
      </c>
      <c r="C688" s="32">
        <f>IFERROR(__xludf.DUMMYFUNCTION("FILTER(IRCTC.NS!H:H,IRCTC.NS!A:A=A688)"),-0.0023454285714285877)</f>
        <v>-0.002345428571</v>
      </c>
      <c r="D688" s="32">
        <f>IFERROR(__xludf.DUMMYFUNCTION("FILTER(TATAELXSI.NS!H:H,TATAELXSI.NS!A:A=A688)"),-0.0039581571823238525)</f>
        <v>-0.003958157182</v>
      </c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1">
        <f>IFERROR(__xludf.DUMMYFUNCTION("""COMPUTED_VALUE"""),45357.0)</f>
        <v>45357</v>
      </c>
      <c r="B689" s="32">
        <f>IFERROR(__xludf.DUMMYFUNCTION("FILTER(INFY.NS!H:H,INFY.NS!A:A=A689)"),0.006878337379396168)</f>
        <v>0.006878337379</v>
      </c>
      <c r="C689" s="32">
        <f>IFERROR(__xludf.DUMMYFUNCTION("FILTER(IRCTC.NS!H:H,IRCTC.NS!A:A=A689)"),-0.007213079810383584)</f>
        <v>-0.00721307981</v>
      </c>
      <c r="D689" s="32">
        <f>IFERROR(__xludf.DUMMYFUNCTION("FILTER(TATAELXSI.NS!H:H,TATAELXSI.NS!A:A=A689)"),-0.007850020355010047)</f>
        <v>-0.007850020355</v>
      </c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1">
        <f>IFERROR(__xludf.DUMMYFUNCTION("""COMPUTED_VALUE"""),45358.0)</f>
        <v>45358</v>
      </c>
      <c r="B690" s="32">
        <f>IFERROR(__xludf.DUMMYFUNCTION("FILTER(INFY.NS!H:H,INFY.NS!A:A=A690)"),-6.801013672992625E-4)</f>
        <v>-0.0006801013673</v>
      </c>
      <c r="C690" s="32">
        <f>IFERROR(__xludf.DUMMYFUNCTION("FILTER(IRCTC.NS!H:H,IRCTC.NS!A:A=A690)"),0.008772427862084027)</f>
        <v>0.008772427862</v>
      </c>
      <c r="D690" s="32">
        <f>IFERROR(__xludf.DUMMYFUNCTION("FILTER(TATAELXSI.NS!H:H,TATAELXSI.NS!A:A=A690)"),0.01110850626338859)</f>
        <v>0.01110850626</v>
      </c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1">
        <f>IFERROR(__xludf.DUMMYFUNCTION("""COMPUTED_VALUE"""),45362.0)</f>
        <v>45362</v>
      </c>
      <c r="B691" s="32">
        <f>IFERROR(__xludf.DUMMYFUNCTION("FILTER(INFY.NS!H:H,INFY.NS!A:A=A691)"),-0.00980542267342992)</f>
        <v>-0.009805422673</v>
      </c>
      <c r="C691" s="32">
        <f>IFERROR(__xludf.DUMMYFUNCTION("FILTER(IRCTC.NS!H:H,IRCTC.NS!A:A=A691)"),0.0014937729215478866)</f>
        <v>0.001493772922</v>
      </c>
      <c r="D691" s="32">
        <f>IFERROR(__xludf.DUMMYFUNCTION("FILTER(TATAELXSI.NS!H:H,TATAELXSI.NS!A:A=A691)"),0.0021075480534686764)</f>
        <v>0.002107548053</v>
      </c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1">
        <f>IFERROR(__xludf.DUMMYFUNCTION("""COMPUTED_VALUE"""),45363.0)</f>
        <v>45363</v>
      </c>
      <c r="B692" s="32">
        <f>IFERROR(__xludf.DUMMYFUNCTION("FILTER(INFY.NS!H:H,INFY.NS!A:A=A692)"),0.007715841050343791)</f>
        <v>0.00771584105</v>
      </c>
      <c r="C692" s="32">
        <f>IFERROR(__xludf.DUMMYFUNCTION("FILTER(IRCTC.NS!H:H,IRCTC.NS!A:A=A692)"),-0.018804564725452277)</f>
        <v>-0.01880456473</v>
      </c>
      <c r="D692" s="32">
        <f>IFERROR(__xludf.DUMMYFUNCTION("FILTER(TATAELXSI.NS!H:H,TATAELXSI.NS!A:A=A692)"),-0.016753359392582733)</f>
        <v>-0.01675335939</v>
      </c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1">
        <f>IFERROR(__xludf.DUMMYFUNCTION("""COMPUTED_VALUE"""),45364.0)</f>
        <v>45364</v>
      </c>
      <c r="B693" s="32">
        <f>IFERROR(__xludf.DUMMYFUNCTION("FILTER(INFY.NS!H:H,INFY.NS!A:A=A693)"),-9.609269023128078E-4)</f>
        <v>-0.0009609269023</v>
      </c>
      <c r="C693" s="32">
        <f>IFERROR(__xludf.DUMMYFUNCTION("FILTER(IRCTC.NS!H:H,IRCTC.NS!A:A=A693)"),-0.04375914813495869)</f>
        <v>-0.04375914813</v>
      </c>
      <c r="D693" s="32">
        <f>IFERROR(__xludf.DUMMYFUNCTION("FILTER(TATAELXSI.NS!H:H,TATAELXSI.NS!A:A=A693)"),-0.02391107610917571)</f>
        <v>-0.02391107611</v>
      </c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1">
        <f>IFERROR(__xludf.DUMMYFUNCTION("""COMPUTED_VALUE"""),45365.0)</f>
        <v>45365</v>
      </c>
      <c r="B694" s="32">
        <f>IFERROR(__xludf.DUMMYFUNCTION("FILTER(INFY.NS!H:H,INFY.NS!A:A=A694)"),0.02600224920934959)</f>
        <v>0.02600224921</v>
      </c>
      <c r="C694" s="32">
        <f>IFERROR(__xludf.DUMMYFUNCTION("FILTER(IRCTC.NS!H:H,IRCTC.NS!A:A=A694)"),0.02055297281181925)</f>
        <v>0.02055297281</v>
      </c>
      <c r="D694" s="32">
        <f>IFERROR(__xludf.DUMMYFUNCTION("FILTER(TATAELXSI.NS!H:H,TATAELXSI.NS!A:A=A694)"),0.04569314764502814)</f>
        <v>0.04569314765</v>
      </c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1">
        <f>IFERROR(__xludf.DUMMYFUNCTION("""COMPUTED_VALUE"""),45366.0)</f>
        <v>45366</v>
      </c>
      <c r="B695" s="32">
        <f>IFERROR(__xludf.DUMMYFUNCTION("FILTER(INFY.NS!H:H,INFY.NS!A:A=A695)"),-0.011673651743779719)</f>
        <v>-0.01167365174</v>
      </c>
      <c r="C695" s="32">
        <f>IFERROR(__xludf.DUMMYFUNCTION("FILTER(IRCTC.NS!H:H,IRCTC.NS!A:A=A695)"),0.015299026425591099)</f>
        <v>0.01529902643</v>
      </c>
      <c r="D695" s="32">
        <f>IFERROR(__xludf.DUMMYFUNCTION("FILTER(TATAELXSI.NS!H:H,TATAELXSI.NS!A:A=A695)"),-0.003052815784133695)</f>
        <v>-0.003052815784</v>
      </c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1">
        <f>IFERROR(__xludf.DUMMYFUNCTION("""COMPUTED_VALUE"""),45369.0)</f>
        <v>45369</v>
      </c>
      <c r="B696" s="32">
        <f>IFERROR(__xludf.DUMMYFUNCTION("FILTER(INFY.NS!H:H,INFY.NS!A:A=A696)"),-0.01918603182374539)</f>
        <v>-0.01918603182</v>
      </c>
      <c r="C696" s="32">
        <f>IFERROR(__xludf.DUMMYFUNCTION("FILTER(IRCTC.NS!H:H,IRCTC.NS!A:A=A696)"),0.007013724931506883)</f>
        <v>0.007013724932</v>
      </c>
      <c r="D696" s="32">
        <f>IFERROR(__xludf.DUMMYFUNCTION("FILTER(TATAELXSI.NS!H:H,TATAELXSI.NS!A:A=A696)"),-5.579090437264372E-4)</f>
        <v>-0.0005579090437</v>
      </c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1">
        <f>IFERROR(__xludf.DUMMYFUNCTION("""COMPUTED_VALUE"""),45370.0)</f>
        <v>45370</v>
      </c>
      <c r="B697" s="32">
        <f>IFERROR(__xludf.DUMMYFUNCTION("FILTER(INFY.NS!H:H,INFY.NS!A:A=A697)"),-0.025707467246760526)</f>
        <v>-0.02570746725</v>
      </c>
      <c r="C697" s="32">
        <f>IFERROR(__xludf.DUMMYFUNCTION("FILTER(IRCTC.NS!H:H,IRCTC.NS!A:A=A697)"),-0.013603220887498855)</f>
        <v>-0.01360322089</v>
      </c>
      <c r="D697" s="32">
        <f>IFERROR(__xludf.DUMMYFUNCTION("FILTER(TATAELXSI.NS!H:H,TATAELXSI.NS!A:A=A697)"),-0.008678787348285267)</f>
        <v>-0.008678787348</v>
      </c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1">
        <f>IFERROR(__xludf.DUMMYFUNCTION("""COMPUTED_VALUE"""),45371.0)</f>
        <v>45371</v>
      </c>
      <c r="B698" s="32">
        <f>IFERROR(__xludf.DUMMYFUNCTION("FILTER(INFY.NS!H:H,INFY.NS!A:A=A698)"),-0.004162797530485817)</f>
        <v>-0.00416279753</v>
      </c>
      <c r="C698" s="32">
        <f>IFERROR(__xludf.DUMMYFUNCTION("FILTER(IRCTC.NS!H:H,IRCTC.NS!A:A=A698)"),-0.00496469536721901)</f>
        <v>-0.004964695367</v>
      </c>
      <c r="D698" s="32">
        <f>IFERROR(__xludf.DUMMYFUNCTION("FILTER(TATAELXSI.NS!H:H,TATAELXSI.NS!A:A=A698)"),-0.010391783099668688)</f>
        <v>-0.0103917831</v>
      </c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1">
        <f>IFERROR(__xludf.DUMMYFUNCTION("""COMPUTED_VALUE"""),45372.0)</f>
        <v>45372</v>
      </c>
      <c r="B699" s="32">
        <f>IFERROR(__xludf.DUMMYFUNCTION("FILTER(INFY.NS!H:H,INFY.NS!A:A=A699)"),-1.6077687892090874E-4)</f>
        <v>-0.0001607768789</v>
      </c>
      <c r="C699" s="32">
        <f>IFERROR(__xludf.DUMMYFUNCTION("FILTER(IRCTC.NS!H:H,IRCTC.NS!A:A=A699)"),0.03642307919486203)</f>
        <v>0.03642307919</v>
      </c>
      <c r="D699" s="32">
        <f>IFERROR(__xludf.DUMMYFUNCTION("FILTER(TATAELXSI.NS!H:H,TATAELXSI.NS!A:A=A699)"),0.019618871170515452)</f>
        <v>0.01961887117</v>
      </c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1">
        <f>IFERROR(__xludf.DUMMYFUNCTION("""COMPUTED_VALUE"""),45373.0)</f>
        <v>45373</v>
      </c>
      <c r="B700" s="32">
        <f>IFERROR(__xludf.DUMMYFUNCTION("FILTER(INFY.NS!H:H,INFY.NS!A:A=A700)"),-0.029491205020305607)</f>
        <v>-0.02949120502</v>
      </c>
      <c r="C700" s="32">
        <f>IFERROR(__xludf.DUMMYFUNCTION("FILTER(IRCTC.NS!H:H,IRCTC.NS!A:A=A700)"),-0.006472305964161524)</f>
        <v>-0.006472305964</v>
      </c>
      <c r="D700" s="32">
        <f>IFERROR(__xludf.DUMMYFUNCTION("FILTER(TATAELXSI.NS!H:H,TATAELXSI.NS!A:A=A700)"),-0.005159155066679646)</f>
        <v>-0.005159155067</v>
      </c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1">
        <f>IFERROR(__xludf.DUMMYFUNCTION("""COMPUTED_VALUE"""),45377.0)</f>
        <v>45377</v>
      </c>
      <c r="B701" s="32">
        <f>IFERROR(__xludf.DUMMYFUNCTION("FILTER(INFY.NS!H:H,INFY.NS!A:A=A701)"),-0.010736622101387726)</f>
        <v>-0.0107366221</v>
      </c>
      <c r="C701" s="32">
        <f>IFERROR(__xludf.DUMMYFUNCTION("FILTER(IRCTC.NS!H:H,IRCTC.NS!A:A=A701)"),5.382577727368956E-5)</f>
        <v>0.00005382577727</v>
      </c>
      <c r="D701" s="32">
        <f>IFERROR(__xludf.DUMMYFUNCTION("FILTER(TATAELXSI.NS!H:H,TATAELXSI.NS!A:A=A701)"),0.003750815394651011)</f>
        <v>0.003750815395</v>
      </c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1">
        <f>IFERROR(__xludf.DUMMYFUNCTION("""COMPUTED_VALUE"""),45378.0)</f>
        <v>45378</v>
      </c>
      <c r="B702" s="32">
        <f>IFERROR(__xludf.DUMMYFUNCTION("FILTER(INFY.NS!H:H,INFY.NS!A:A=A702)"),-0.005895586948384399)</f>
        <v>-0.005895586948</v>
      </c>
      <c r="C702" s="32">
        <f>IFERROR(__xludf.DUMMYFUNCTION("FILTER(IRCTC.NS!H:H,IRCTC.NS!A:A=A702)"),0.0012920721399730984)</f>
        <v>0.00129207214</v>
      </c>
      <c r="D702" s="32">
        <f>IFERROR(__xludf.DUMMYFUNCTION("FILTER(TATAELXSI.NS!H:H,TATAELXSI.NS!A:A=A702)"),-0.0024630635255889974)</f>
        <v>-0.002463063526</v>
      </c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1">
        <f>IFERROR(__xludf.DUMMYFUNCTION("""COMPUTED_VALUE"""),45379.0)</f>
        <v>45379</v>
      </c>
      <c r="B703" s="32">
        <f>IFERROR(__xludf.DUMMYFUNCTION("FILTER(INFY.NS!H:H,INFY.NS!A:A=A703)"),0.009569749792549091)</f>
        <v>0.009569749793</v>
      </c>
      <c r="C703" s="32">
        <f>IFERROR(__xludf.DUMMYFUNCTION("FILTER(IRCTC.NS!H:H,IRCTC.NS!A:A=A703)"),-2.688316541470188E-4)</f>
        <v>-0.0002688316541</v>
      </c>
      <c r="D703" s="32">
        <f>IFERROR(__xludf.DUMMYFUNCTION("FILTER(TATAELXSI.NS!H:H,TATAELXSI.NS!A:A=A703)"),0.014378237843820927)</f>
        <v>0.01437823784</v>
      </c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1">
        <f>IFERROR(__xludf.DUMMYFUNCTION("""COMPUTED_VALUE"""),45383.0)</f>
        <v>45383</v>
      </c>
      <c r="B704" s="32">
        <f>IFERROR(__xludf.DUMMYFUNCTION("FILTER(INFY.NS!H:H,INFY.NS!A:A=A704)"),-0.0017356549614183745)</f>
        <v>-0.001735654961</v>
      </c>
      <c r="C704" s="32">
        <f>IFERROR(__xludf.DUMMYFUNCTION("FILTER(IRCTC.NS!H:H,IRCTC.NS!A:A=A704)"),0.043508671052915955)</f>
        <v>0.04350867105</v>
      </c>
      <c r="D704" s="32">
        <f>IFERROR(__xludf.DUMMYFUNCTION("FILTER(TATAELXSI.NS!H:H,TATAELXSI.NS!A:A=A704)"),-0.005118732137677015)</f>
        <v>-0.005118732138</v>
      </c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1">
        <f>IFERROR(__xludf.DUMMYFUNCTION("""COMPUTED_VALUE"""),45384.0)</f>
        <v>45384</v>
      </c>
      <c r="B705" s="32">
        <f>IFERROR(__xludf.DUMMYFUNCTION("FILTER(INFY.NS!H:H,INFY.NS!A:A=A705)"),-0.008425541083186732)</f>
        <v>-0.008425541083</v>
      </c>
      <c r="C705" s="32">
        <f>IFERROR(__xludf.DUMMYFUNCTION("FILTER(IRCTC.NS!H:H,IRCTC.NS!A:A=A705)"),0.034685319968615444)</f>
        <v>0.03468531997</v>
      </c>
      <c r="D705" s="32">
        <f>IFERROR(__xludf.DUMMYFUNCTION("FILTER(TATAELXSI.NS!H:H,TATAELXSI.NS!A:A=A705)"),-0.005622739738478032)</f>
        <v>-0.005622739738</v>
      </c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1">
        <f>IFERROR(__xludf.DUMMYFUNCTION("""COMPUTED_VALUE"""),45385.0)</f>
        <v>45385</v>
      </c>
      <c r="B706" s="32">
        <f>IFERROR(__xludf.DUMMYFUNCTION("FILTER(INFY.NS!H:H,INFY.NS!A:A=A706)"),-0.0014835971511658434)</f>
        <v>-0.001483597151</v>
      </c>
      <c r="C706" s="32">
        <f>IFERROR(__xludf.DUMMYFUNCTION("FILTER(IRCTC.NS!H:H,IRCTC.NS!A:A=A706)"),0.010808962073827047)</f>
        <v>0.01080896207</v>
      </c>
      <c r="D706" s="32">
        <f>IFERROR(__xludf.DUMMYFUNCTION("FILTER(TATAELXSI.NS!H:H,TATAELXSI.NS!A:A=A706)"),0.038452287077612245)</f>
        <v>0.03845228708</v>
      </c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1">
        <f>IFERROR(__xludf.DUMMYFUNCTION("""COMPUTED_VALUE"""),45386.0)</f>
        <v>45386</v>
      </c>
      <c r="B707" s="32">
        <f>IFERROR(__xludf.DUMMYFUNCTION("FILTER(INFY.NS!H:H,INFY.NS!A:A=A707)"),0.004085993922896141)</f>
        <v>0.004085993923</v>
      </c>
      <c r="C707" s="32">
        <f>IFERROR(__xludf.DUMMYFUNCTION("FILTER(IRCTC.NS!H:H,IRCTC.NS!A:A=A707)"),-0.016261764756041637)</f>
        <v>-0.01626176476</v>
      </c>
      <c r="D707" s="32">
        <f>IFERROR(__xludf.DUMMYFUNCTION("FILTER(TATAELXSI.NS!H:H,TATAELXSI.NS!A:A=A707)"),0.0037009838035854787)</f>
        <v>0.003700983804</v>
      </c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1">
        <f>IFERROR(__xludf.DUMMYFUNCTION("""COMPUTED_VALUE"""),45387.0)</f>
        <v>45387</v>
      </c>
      <c r="B708" s="32">
        <f>IFERROR(__xludf.DUMMYFUNCTION("FILTER(INFY.NS!H:H,INFY.NS!A:A=A708)"),-0.005111976357359876)</f>
        <v>-0.005111976357</v>
      </c>
      <c r="C708" s="32">
        <f>IFERROR(__xludf.DUMMYFUNCTION("FILTER(IRCTC.NS!H:H,IRCTC.NS!A:A=A708)"),0.004808884320579834)</f>
        <v>0.004808884321</v>
      </c>
      <c r="D708" s="32">
        <f>IFERROR(__xludf.DUMMYFUNCTION("FILTER(TATAELXSI.NS!H:H,TATAELXSI.NS!A:A=A708)"),0.001750209280597901)</f>
        <v>0.001750209281</v>
      </c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1">
        <f>IFERROR(__xludf.DUMMYFUNCTION("""COMPUTED_VALUE"""),45390.0)</f>
        <v>45390</v>
      </c>
      <c r="B709" s="32">
        <f>IFERROR(__xludf.DUMMYFUNCTION("FILTER(INFY.NS!H:H,INFY.NS!A:A=A709)"),-0.0016226252714102636)</f>
        <v>-0.001622625271</v>
      </c>
      <c r="C709" s="32">
        <f>IFERROR(__xludf.DUMMYFUNCTION("FILTER(IRCTC.NS!H:H,IRCTC.NS!A:A=A709)"),0.011815121250529453)</f>
        <v>0.01181512125</v>
      </c>
      <c r="D709" s="32">
        <f>IFERROR(__xludf.DUMMYFUNCTION("FILTER(TATAELXSI.NS!H:H,TATAELXSI.NS!A:A=A709)"),-0.014810529423811647)</f>
        <v>-0.01481052942</v>
      </c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1">
        <f>IFERROR(__xludf.DUMMYFUNCTION("""COMPUTED_VALUE"""),45391.0)</f>
        <v>45391</v>
      </c>
      <c r="B710" s="32">
        <f>IFERROR(__xludf.DUMMYFUNCTION("FILTER(INFY.NS!H:H,INFY.NS!A:A=A710)"),0.01229093627836107)</f>
        <v>0.01229093628</v>
      </c>
      <c r="C710" s="32">
        <f>IFERROR(__xludf.DUMMYFUNCTION("FILTER(IRCTC.NS!H:H,IRCTC.NS!A:A=A710)"),-0.004286535328575477)</f>
        <v>-0.004286535329</v>
      </c>
      <c r="D710" s="32">
        <f>IFERROR(__xludf.DUMMYFUNCTION("FILTER(TATAELXSI.NS!H:H,TATAELXSI.NS!A:A=A710)"),-0.002827457345725945)</f>
        <v>-0.002827457346</v>
      </c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1">
        <f>IFERROR(__xludf.DUMMYFUNCTION("""COMPUTED_VALUE"""),45392.0)</f>
        <v>45392</v>
      </c>
      <c r="B711" s="32">
        <f>IFERROR(__xludf.DUMMYFUNCTION("FILTER(INFY.NS!H:H,INFY.NS!A:A=A711)"),0.007994162084396338)</f>
        <v>0.007994162084</v>
      </c>
      <c r="C711" s="32">
        <f>IFERROR(__xludf.DUMMYFUNCTION("FILTER(IRCTC.NS!H:H,IRCTC.NS!A:A=A711)"),0.012420196794455562)</f>
        <v>0.01242019679</v>
      </c>
      <c r="D711" s="32">
        <f>IFERROR(__xludf.DUMMYFUNCTION("FILTER(TATAELXSI.NS!H:H,TATAELXSI.NS!A:A=A711)"),-0.006746768224963064)</f>
        <v>-0.006746768225</v>
      </c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1">
        <f>IFERROR(__xludf.DUMMYFUNCTION("""COMPUTED_VALUE"""),45394.0)</f>
        <v>45394</v>
      </c>
      <c r="B712" s="32">
        <f>IFERROR(__xludf.DUMMYFUNCTION("FILTER(INFY.NS!H:H,INFY.NS!A:A=A712)"),-0.01463369278135718)</f>
        <v>-0.01463369278</v>
      </c>
      <c r="C712" s="32">
        <f>IFERROR(__xludf.DUMMYFUNCTION("FILTER(IRCTC.NS!H:H,IRCTC.NS!A:A=A712)"),0.033870991202346074)</f>
        <v>0.0338709912</v>
      </c>
      <c r="D712" s="32">
        <f>IFERROR(__xludf.DUMMYFUNCTION("FILTER(TATAELXSI.NS!H:H,TATAELXSI.NS!A:A=A712)"),-0.011852040653773856)</f>
        <v>-0.01185204065</v>
      </c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1">
        <f>IFERROR(__xludf.DUMMYFUNCTION("""COMPUTED_VALUE"""),45397.0)</f>
        <v>45397</v>
      </c>
      <c r="B713" s="32">
        <f>IFERROR(__xludf.DUMMYFUNCTION("FILTER(INFY.NS!H:H,INFY.NS!A:A=A713)"),-0.011180317225122053)</f>
        <v>-0.01118031723</v>
      </c>
      <c r="C713" s="32">
        <f>IFERROR(__xludf.DUMMYFUNCTION("FILTER(IRCTC.NS!H:H,IRCTC.NS!A:A=A713)"),-0.026615632166808356)</f>
        <v>-0.02661563217</v>
      </c>
      <c r="D713" s="32">
        <f>IFERROR(__xludf.DUMMYFUNCTION("FILTER(TATAELXSI.NS!H:H,TATAELXSI.NS!A:A=A713)"),-0.029405126551668548)</f>
        <v>-0.02940512655</v>
      </c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1">
        <f>IFERROR(__xludf.DUMMYFUNCTION("""COMPUTED_VALUE"""),45398.0)</f>
        <v>45398</v>
      </c>
      <c r="B714" s="32">
        <f>IFERROR(__xludf.DUMMYFUNCTION("FILTER(INFY.NS!H:H,INFY.NS!A:A=A714)"),-0.036576693200394604)</f>
        <v>-0.0365766932</v>
      </c>
      <c r="C714" s="32">
        <f>IFERROR(__xludf.DUMMYFUNCTION("FILTER(IRCTC.NS!H:H,IRCTC.NS!A:A=A714)"),-0.012676044681884395)</f>
        <v>-0.01267604468</v>
      </c>
      <c r="D714" s="32">
        <f>IFERROR(__xludf.DUMMYFUNCTION("FILTER(TATAELXSI.NS!H:H,TATAELXSI.NS!A:A=A714)"),5.647277679965452E-4)</f>
        <v>0.000564727768</v>
      </c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1">
        <f>IFERROR(__xludf.DUMMYFUNCTION("""COMPUTED_VALUE"""),45400.0)</f>
        <v>45400</v>
      </c>
      <c r="B715" s="32">
        <f>IFERROR(__xludf.DUMMYFUNCTION("FILTER(INFY.NS!H:H,INFY.NS!A:A=A715)"),0.00339357995424749)</f>
        <v>0.003393579954</v>
      </c>
      <c r="C715" s="32">
        <f>IFERROR(__xludf.DUMMYFUNCTION("FILTER(IRCTC.NS!H:H,IRCTC.NS!A:A=A715)"),-0.0231196809705975)</f>
        <v>-0.02311968097</v>
      </c>
      <c r="D715" s="32">
        <f>IFERROR(__xludf.DUMMYFUNCTION("FILTER(TATAELXSI.NS!H:H,TATAELXSI.NS!A:A=A715)"),-0.004867184860557784)</f>
        <v>-0.004867184861</v>
      </c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1">
        <f>IFERROR(__xludf.DUMMYFUNCTION("""COMPUTED_VALUE"""),45401.0)</f>
        <v>45401</v>
      </c>
      <c r="B716" s="32">
        <f>IFERROR(__xludf.DUMMYFUNCTION("FILTER(INFY.NS!H:H,INFY.NS!A:A=A716)"),-0.005636779989431038)</f>
        <v>-0.005636779989</v>
      </c>
      <c r="C716" s="32">
        <f>IFERROR(__xludf.DUMMYFUNCTION("FILTER(IRCTC.NS!H:H,IRCTC.NS!A:A=A716)"),-9.56757126259056E-4)</f>
        <v>-0.0009567571263</v>
      </c>
      <c r="D716" s="32">
        <f>IFERROR(__xludf.DUMMYFUNCTION("FILTER(TATAELXSI.NS!H:H,TATAELXSI.NS!A:A=A716)"),-0.005651690825349702)</f>
        <v>-0.005651690825</v>
      </c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1">
        <f>IFERROR(__xludf.DUMMYFUNCTION("""COMPUTED_VALUE"""),45404.0)</f>
        <v>45404</v>
      </c>
      <c r="B717" s="32">
        <f>IFERROR(__xludf.DUMMYFUNCTION("FILTER(INFY.NS!H:H,INFY.NS!A:A=A717)"),0.015234720992028343)</f>
        <v>0.01523472099</v>
      </c>
      <c r="C717" s="32">
        <f>IFERROR(__xludf.DUMMYFUNCTION("FILTER(IRCTC.NS!H:H,IRCTC.NS!A:A=A717)"),0.008114907258064501)</f>
        <v>0.008114907258</v>
      </c>
      <c r="D717" s="32">
        <f>IFERROR(__xludf.DUMMYFUNCTION("FILTER(TATAELXSI.NS!H:H,TATAELXSI.NS!A:A=A717)"),-0.001925929137028572)</f>
        <v>-0.001925929137</v>
      </c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1">
        <f>IFERROR(__xludf.DUMMYFUNCTION("""COMPUTED_VALUE"""),45405.0)</f>
        <v>45405</v>
      </c>
      <c r="B718" s="32">
        <f>IFERROR(__xludf.DUMMYFUNCTION("FILTER(INFY.NS!H:H,INFY.NS!A:A=A718)"),0.00673531600069798)</f>
        <v>0.006735316001</v>
      </c>
      <c r="C718" s="32">
        <f>IFERROR(__xludf.DUMMYFUNCTION("FILTER(IRCTC.NS!H:H,IRCTC.NS!A:A=A718)"),0.016249187735603472)</f>
        <v>0.01624918774</v>
      </c>
      <c r="D718" s="32">
        <f>IFERROR(__xludf.DUMMYFUNCTION("FILTER(TATAELXSI.NS!H:H,TATAELXSI.NS!A:A=A718)"),-0.005573706917257507)</f>
        <v>-0.005573706917</v>
      </c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1">
        <f>IFERROR(__xludf.DUMMYFUNCTION("""COMPUTED_VALUE"""),45406.0)</f>
        <v>45406</v>
      </c>
      <c r="B719" s="32">
        <f>IFERROR(__xludf.DUMMYFUNCTION("FILTER(INFY.NS!H:H,INFY.NS!A:A=A719)"),-0.00807683292162787)</f>
        <v>-0.008076832922</v>
      </c>
      <c r="C719" s="32">
        <f>IFERROR(__xludf.DUMMYFUNCTION("FILTER(IRCTC.NS!H:H,IRCTC.NS!A:A=A719)"),0.00890483922745061)</f>
        <v>0.008904839227</v>
      </c>
      <c r="D719" s="32">
        <f>IFERROR(__xludf.DUMMYFUNCTION("FILTER(TATAELXSI.NS!H:H,TATAELXSI.NS!A:A=A719)"),-0.049363138708106366)</f>
        <v>-0.04936313871</v>
      </c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1">
        <f>IFERROR(__xludf.DUMMYFUNCTION("""COMPUTED_VALUE"""),45407.0)</f>
        <v>45407</v>
      </c>
      <c r="B720" s="32">
        <f>IFERROR(__xludf.DUMMYFUNCTION("FILTER(INFY.NS!H:H,INFY.NS!A:A=A720)"),0.0053817585182596925)</f>
        <v>0.005381758518</v>
      </c>
      <c r="C720" s="32">
        <f>IFERROR(__xludf.DUMMYFUNCTION("FILTER(IRCTC.NS!H:H,IRCTC.NS!A:A=A720)"),0.002389499251326822)</f>
        <v>0.002389499251</v>
      </c>
      <c r="D720" s="32">
        <f>IFERROR(__xludf.DUMMYFUNCTION("FILTER(TATAELXSI.NS!H:H,TATAELXSI.NS!A:A=A720)"),0.009068085444645189)</f>
        <v>0.009068085445</v>
      </c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1">
        <f>IFERROR(__xludf.DUMMYFUNCTION("""COMPUTED_VALUE"""),45408.0)</f>
        <v>45408</v>
      </c>
      <c r="B721" s="32">
        <f>IFERROR(__xludf.DUMMYFUNCTION("FILTER(INFY.NS!H:H,INFY.NS!A:A=A721)"),-0.005700546615681351)</f>
        <v>-0.005700546616</v>
      </c>
      <c r="C721" s="32">
        <f>IFERROR(__xludf.DUMMYFUNCTION("FILTER(IRCTC.NS!H:H,IRCTC.NS!A:A=A721)"),0.016199553615705374)</f>
        <v>0.01619955362</v>
      </c>
      <c r="D721" s="32">
        <f>IFERROR(__xludf.DUMMYFUNCTION("FILTER(TATAELXSI.NS!H:H,TATAELXSI.NS!A:A=A721)"),0.001381509907862841)</f>
        <v>0.001381509908</v>
      </c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1">
        <f>IFERROR(__xludf.DUMMYFUNCTION("""COMPUTED_VALUE"""),45411.0)</f>
        <v>45411</v>
      </c>
      <c r="B722" s="32">
        <f>IFERROR(__xludf.DUMMYFUNCTION("FILTER(INFY.NS!H:H,INFY.NS!A:A=A722)"),0.003146303093864709)</f>
        <v>0.003146303094</v>
      </c>
      <c r="C722" s="32">
        <f>IFERROR(__xludf.DUMMYFUNCTION("FILTER(IRCTC.NS!H:H,IRCTC.NS!A:A=A722)"),7.660003231690941E-4)</f>
        <v>0.0007660003232</v>
      </c>
      <c r="D722" s="32">
        <f>IFERROR(__xludf.DUMMYFUNCTION("FILTER(TATAELXSI.NS!H:H,TATAELXSI.NS!A:A=A722)"),-1.5486253217369345E-4)</f>
        <v>-0.0001548625322</v>
      </c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1">
        <f>IFERROR(__xludf.DUMMYFUNCTION("""COMPUTED_VALUE"""),45412.0)</f>
        <v>45412</v>
      </c>
      <c r="B723" s="32">
        <f>IFERROR(__xludf.DUMMYFUNCTION("FILTER(INFY.NS!H:H,INFY.NS!A:A=A723)"),-0.00989716048092006)</f>
        <v>-0.009897160481</v>
      </c>
      <c r="C723" s="32">
        <f>IFERROR(__xludf.DUMMYFUNCTION("FILTER(IRCTC.NS!H:H,IRCTC.NS!A:A=A723)"),-0.006218607988519493)</f>
        <v>-0.006218607989</v>
      </c>
      <c r="D723" s="32">
        <f>IFERROR(__xludf.DUMMYFUNCTION("FILTER(TATAELXSI.NS!H:H,TATAELXSI.NS!A:A=A723)"),-0.007138258567348638)</f>
        <v>-0.007138258567</v>
      </c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1">
        <f>IFERROR(__xludf.DUMMYFUNCTION("""COMPUTED_VALUE"""),45414.0)</f>
        <v>45414</v>
      </c>
      <c r="B724" s="32">
        <f>IFERROR(__xludf.DUMMYFUNCTION("FILTER(INFY.NS!H:H,INFY.NS!A:A=A724)"),-0.004294180274953403)</f>
        <v>-0.004294180275</v>
      </c>
      <c r="C724" s="32">
        <f>IFERROR(__xludf.DUMMYFUNCTION("FILTER(IRCTC.NS!H:H,IRCTC.NS!A:A=A724)"),0.01689535403128755)</f>
        <v>0.01689535403</v>
      </c>
      <c r="D724" s="32">
        <f>IFERROR(__xludf.DUMMYFUNCTION("FILTER(TATAELXSI.NS!H:H,TATAELXSI.NS!A:A=A724)"),0.014116804603503607)</f>
        <v>0.0141168046</v>
      </c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1">
        <f>IFERROR(__xludf.DUMMYFUNCTION("""COMPUTED_VALUE"""),45415.0)</f>
        <v>45415</v>
      </c>
      <c r="B725" s="32">
        <f>IFERROR(__xludf.DUMMYFUNCTION("FILTER(INFY.NS!H:H,INFY.NS!A:A=A725)"),0.001307998207141858)</f>
        <v>0.001307998207</v>
      </c>
      <c r="C725" s="32">
        <f>IFERROR(__xludf.DUMMYFUNCTION("FILTER(IRCTC.NS!H:H,IRCTC.NS!A:A=A725)"),-0.0036448904869831066)</f>
        <v>-0.003644890487</v>
      </c>
      <c r="D725" s="32">
        <f>IFERROR(__xludf.DUMMYFUNCTION("FILTER(TATAELXSI.NS!H:H,TATAELXSI.NS!A:A=A725)"),-0.005551348875750696)</f>
        <v>-0.005551348876</v>
      </c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1">
        <f>IFERROR(__xludf.DUMMYFUNCTION("""COMPUTED_VALUE"""),45418.0)</f>
        <v>45418</v>
      </c>
      <c r="B726" s="32">
        <f>IFERROR(__xludf.DUMMYFUNCTION("FILTER(INFY.NS!H:H,INFY.NS!A:A=A726)"),0.00677820706620627)</f>
        <v>0.006778207066</v>
      </c>
      <c r="C726" s="32">
        <f>IFERROR(__xludf.DUMMYFUNCTION("FILTER(IRCTC.NS!H:H,IRCTC.NS!A:A=A726)"),-0.02874240145220933)</f>
        <v>-0.02874240145</v>
      </c>
      <c r="D726" s="32">
        <f>IFERROR(__xludf.DUMMYFUNCTION("FILTER(TATAELXSI.NS!H:H,TATAELXSI.NS!A:A=A726)"),-0.0034028466973670827)</f>
        <v>-0.003402846697</v>
      </c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1">
        <f>IFERROR(__xludf.DUMMYFUNCTION("""COMPUTED_VALUE"""),45419.0)</f>
        <v>45419</v>
      </c>
      <c r="B727" s="32">
        <f>IFERROR(__xludf.DUMMYFUNCTION("FILTER(INFY.NS!H:H,INFY.NS!A:A=A727)"),0.010554685985474129)</f>
        <v>0.01055468599</v>
      </c>
      <c r="C727" s="32">
        <f>IFERROR(__xludf.DUMMYFUNCTION("FILTER(IRCTC.NS!H:H,IRCTC.NS!A:A=A727)"),-0.028076708729289288)</f>
        <v>-0.02807670873</v>
      </c>
      <c r="D727" s="32">
        <f>IFERROR(__xludf.DUMMYFUNCTION("FILTER(TATAELXSI.NS!H:H,TATAELXSI.NS!A:A=A727)"),0.007096993232346004)</f>
        <v>0.007096993232</v>
      </c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1">
        <f>IFERROR(__xludf.DUMMYFUNCTION("""COMPUTED_VALUE"""),45420.0)</f>
        <v>45420</v>
      </c>
      <c r="B728" s="32">
        <f>IFERROR(__xludf.DUMMYFUNCTION("FILTER(INFY.NS!H:H,INFY.NS!A:A=A728)"),-0.009472849484138752)</f>
        <v>-0.009472849484</v>
      </c>
      <c r="C728" s="32">
        <f>IFERROR(__xludf.DUMMYFUNCTION("FILTER(IRCTC.NS!H:H,IRCTC.NS!A:A=A728)"),0.014041280322093624)</f>
        <v>0.01404128032</v>
      </c>
      <c r="D728" s="32">
        <f>IFERROR(__xludf.DUMMYFUNCTION("FILTER(TATAELXSI.NS!H:H,TATAELXSI.NS!A:A=A728)"),-0.0031171851039901175)</f>
        <v>-0.003117185104</v>
      </c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1">
        <f>IFERROR(__xludf.DUMMYFUNCTION("""COMPUTED_VALUE"""),45421.0)</f>
        <v>45421</v>
      </c>
      <c r="B729" s="32">
        <f>IFERROR(__xludf.DUMMYFUNCTION("FILTER(INFY.NS!H:H,INFY.NS!A:A=A729)"),0.008582638253661267)</f>
        <v>0.008582638254</v>
      </c>
      <c r="C729" s="32">
        <f>IFERROR(__xludf.DUMMYFUNCTION("FILTER(IRCTC.NS!H:H,IRCTC.NS!A:A=A729)"),-0.021192154196927087)</f>
        <v>-0.0211921542</v>
      </c>
      <c r="D729" s="32">
        <f>IFERROR(__xludf.DUMMYFUNCTION("FILTER(TATAELXSI.NS!H:H,TATAELXSI.NS!A:A=A729)"),0.00503823943255003)</f>
        <v>0.005038239433</v>
      </c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1">
        <f>IFERROR(__xludf.DUMMYFUNCTION("""COMPUTED_VALUE"""),45422.0)</f>
        <v>45422</v>
      </c>
      <c r="B730" s="32">
        <f>IFERROR(__xludf.DUMMYFUNCTION("FILTER(INFY.NS!H:H,INFY.NS!A:A=A730)"),-0.010176808378546285)</f>
        <v>-0.01017680838</v>
      </c>
      <c r="C730" s="32">
        <f>IFERROR(__xludf.DUMMYFUNCTION("FILTER(IRCTC.NS!H:H,IRCTC.NS!A:A=A730)"),0.009583218973732148)</f>
        <v>0.009583218974</v>
      </c>
      <c r="D730" s="32">
        <f>IFERROR(__xludf.DUMMYFUNCTION("FILTER(TATAELXSI.NS!H:H,TATAELXSI.NS!A:A=A730)"),-0.0033629952449106353)</f>
        <v>-0.003362995245</v>
      </c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1">
        <f>IFERROR(__xludf.DUMMYFUNCTION("""COMPUTED_VALUE"""),45425.0)</f>
        <v>45425</v>
      </c>
      <c r="B731" s="32">
        <f>IFERROR(__xludf.DUMMYFUNCTION("FILTER(INFY.NS!H:H,INFY.NS!A:A=A731)"),-0.0010176664857716184)</f>
        <v>-0.001017666486</v>
      </c>
      <c r="C731" s="32">
        <f>IFERROR(__xludf.DUMMYFUNCTION("FILTER(IRCTC.NS!H:H,IRCTC.NS!A:A=A731)"),-0.005424101315945127)</f>
        <v>-0.005424101316</v>
      </c>
      <c r="D731" s="32">
        <f>IFERROR(__xludf.DUMMYFUNCTION("FILTER(TATAELXSI.NS!H:H,TATAELXSI.NS!A:A=A731)"),-0.008193717597298375)</f>
        <v>-0.008193717597</v>
      </c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1">
        <f>IFERROR(__xludf.DUMMYFUNCTION("""COMPUTED_VALUE"""),45426.0)</f>
        <v>45426</v>
      </c>
      <c r="B732" s="32">
        <f>IFERROR(__xludf.DUMMYFUNCTION("FILTER(INFY.NS!H:H,INFY.NS!A:A=A732)"),8.781481913866039E-4)</f>
        <v>0.0008781481914</v>
      </c>
      <c r="C732" s="32">
        <f>IFERROR(__xludf.DUMMYFUNCTION("FILTER(IRCTC.NS!H:H,IRCTC.NS!A:A=A732)"),0.03686310065675462)</f>
        <v>0.03686310066</v>
      </c>
      <c r="D732" s="32">
        <f>IFERROR(__xludf.DUMMYFUNCTION("FILTER(TATAELXSI.NS!H:H,TATAELXSI.NS!A:A=A732)"),0.0027089973122082487)</f>
        <v>0.002708997312</v>
      </c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1">
        <f>IFERROR(__xludf.DUMMYFUNCTION("""COMPUTED_VALUE"""),45427.0)</f>
        <v>45427</v>
      </c>
      <c r="B733" s="32">
        <f>IFERROR(__xludf.DUMMYFUNCTION("FILTER(INFY.NS!H:H,INFY.NS!A:A=A733)"),-0.003334035350156336)</f>
        <v>-0.00333403535</v>
      </c>
      <c r="C733" s="32">
        <f>IFERROR(__xludf.DUMMYFUNCTION("FILTER(IRCTC.NS!H:H,IRCTC.NS!A:A=A733)"),0.0019480835272449183)</f>
        <v>0.001948083527</v>
      </c>
      <c r="D733" s="32">
        <f>IFERROR(__xludf.DUMMYFUNCTION("FILTER(TATAELXSI.NS!H:H,TATAELXSI.NS!A:A=A733)"),0.01891891394144501)</f>
        <v>0.01891891394</v>
      </c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1">
        <f>IFERROR(__xludf.DUMMYFUNCTION("""COMPUTED_VALUE"""),45428.0)</f>
        <v>45428</v>
      </c>
      <c r="B734" s="32">
        <f>IFERROR(__xludf.DUMMYFUNCTION("FILTER(INFY.NS!H:H,INFY.NS!A:A=A734)"),0.02352197341637143)</f>
        <v>0.02352197342</v>
      </c>
      <c r="C734" s="32">
        <f>IFERROR(__xludf.DUMMYFUNCTION("FILTER(IRCTC.NS!H:H,IRCTC.NS!A:A=A734)"),0.011519929736568955)</f>
        <v>0.01151992974</v>
      </c>
      <c r="D734" s="32">
        <f>IFERROR(__xludf.DUMMYFUNCTION("FILTER(TATAELXSI.NS!H:H,TATAELXSI.NS!A:A=A734)"),0.010709972377029304)</f>
        <v>0.01070997238</v>
      </c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1">
        <f>IFERROR(__xludf.DUMMYFUNCTION("""COMPUTED_VALUE"""),45429.0)</f>
        <v>45429</v>
      </c>
      <c r="B735" s="32">
        <f>IFERROR(__xludf.DUMMYFUNCTION("FILTER(INFY.NS!H:H,INFY.NS!A:A=A735)"),-0.0062269426837627895)</f>
        <v>-0.006226942684</v>
      </c>
      <c r="C735" s="32">
        <f>IFERROR(__xludf.DUMMYFUNCTION("FILTER(IRCTC.NS!H:H,IRCTC.NS!A:A=A735)"),0.05112921768380592)</f>
        <v>0.05112921768</v>
      </c>
      <c r="D735" s="32">
        <f>IFERROR(__xludf.DUMMYFUNCTION("FILTER(TATAELXSI.NS!H:H,TATAELXSI.NS!A:A=A735)"),0.008137418653423897)</f>
        <v>0.008137418653</v>
      </c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1">
        <f>IFERROR(__xludf.DUMMYFUNCTION("""COMPUTED_VALUE"""),45433.0)</f>
        <v>45433</v>
      </c>
      <c r="B736" s="32">
        <f>IFERROR(__xludf.DUMMYFUNCTION("FILTER(INFY.NS!H:H,INFY.NS!A:A=A736)"),-0.007027642910507105)</f>
        <v>-0.007027642911</v>
      </c>
      <c r="C736" s="32">
        <f>IFERROR(__xludf.DUMMYFUNCTION("FILTER(IRCTC.NS!H:H,IRCTC.NS!A:A=A736)"),0.019978146638867215)</f>
        <v>0.01997814664</v>
      </c>
      <c r="D736" s="32">
        <f>IFERROR(__xludf.DUMMYFUNCTION("FILTER(TATAELXSI.NS!H:H,TATAELXSI.NS!A:A=A736)"),-0.016320165511618412)</f>
        <v>-0.01632016551</v>
      </c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1">
        <f>IFERROR(__xludf.DUMMYFUNCTION("""COMPUTED_VALUE"""),45434.0)</f>
        <v>45434</v>
      </c>
      <c r="B737" s="32">
        <f>IFERROR(__xludf.DUMMYFUNCTION("FILTER(INFY.NS!H:H,INFY.NS!A:A=A737)"),0.01439878998321581)</f>
        <v>0.01439878998</v>
      </c>
      <c r="C737" s="32">
        <f>IFERROR(__xludf.DUMMYFUNCTION("FILTER(IRCTC.NS!H:H,IRCTC.NS!A:A=A737)"),0.00936753219576978)</f>
        <v>0.009367532196</v>
      </c>
      <c r="D737" s="32">
        <f>IFERROR(__xludf.DUMMYFUNCTION("FILTER(TATAELXSI.NS!H:H,TATAELXSI.NS!A:A=A737)"),-0.003771264193397355)</f>
        <v>-0.003771264193</v>
      </c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1">
        <f>IFERROR(__xludf.DUMMYFUNCTION("""COMPUTED_VALUE"""),45435.0)</f>
        <v>45435</v>
      </c>
      <c r="B738" s="32">
        <f>IFERROR(__xludf.DUMMYFUNCTION("FILTER(INFY.NS!H:H,INFY.NS!A:A=A738)"),0.01209786527852948)</f>
        <v>0.01209786528</v>
      </c>
      <c r="C738" s="32">
        <f>IFERROR(__xludf.DUMMYFUNCTION("FILTER(IRCTC.NS!H:H,IRCTC.NS!A:A=A738)"),-0.0034636092362344854)</f>
        <v>-0.003463609236</v>
      </c>
      <c r="D738" s="32">
        <f>IFERROR(__xludf.DUMMYFUNCTION("FILTER(TATAELXSI.NS!H:H,TATAELXSI.NS!A:A=A738)"),0.028426423708221543)</f>
        <v>0.02842642371</v>
      </c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1">
        <f>IFERROR(__xludf.DUMMYFUNCTION("""COMPUTED_VALUE"""),45436.0)</f>
        <v>45436</v>
      </c>
      <c r="B739" s="32">
        <f>IFERROR(__xludf.DUMMYFUNCTION("FILTER(INFY.NS!H:H,INFY.NS!A:A=A739)"),-0.004957924396230559)</f>
        <v>-0.004957924396</v>
      </c>
      <c r="C739" s="32">
        <f>IFERROR(__xludf.DUMMYFUNCTION("FILTER(IRCTC.NS!H:H,IRCTC.NS!A:A=A739)"),-0.011629914694873877)</f>
        <v>-0.01162991469</v>
      </c>
      <c r="D739" s="32">
        <f>IFERROR(__xludf.DUMMYFUNCTION("FILTER(TATAELXSI.NS!H:H,TATAELXSI.NS!A:A=A739)"),-0.005615767663033507)</f>
        <v>-0.005615767663</v>
      </c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1">
        <f>IFERROR(__xludf.DUMMYFUNCTION("""COMPUTED_VALUE"""),45439.0)</f>
        <v>45439</v>
      </c>
      <c r="B740" s="32">
        <f>IFERROR(__xludf.DUMMYFUNCTION("FILTER(INFY.NS!H:H,INFY.NS!A:A=A740)"),0.004265920484869355)</f>
        <v>0.004265920485</v>
      </c>
      <c r="C740" s="32">
        <f>IFERROR(__xludf.DUMMYFUNCTION("FILTER(IRCTC.NS!H:H,IRCTC.NS!A:A=A740)"),-0.007033090172109938)</f>
        <v>-0.007033090172</v>
      </c>
      <c r="D740" s="32">
        <f>IFERROR(__xludf.DUMMYFUNCTION("FILTER(TATAELXSI.NS!H:H,TATAELXSI.NS!A:A=A740)"),-0.00788485189221006)</f>
        <v>-0.007884851892</v>
      </c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1">
        <f>IFERROR(__xludf.DUMMYFUNCTION("""COMPUTED_VALUE"""),45440.0)</f>
        <v>45440</v>
      </c>
      <c r="B741" s="32">
        <f>IFERROR(__xludf.DUMMYFUNCTION("FILTER(INFY.NS!H:H,INFY.NS!A:A=A741)"),-0.002922436585542871)</f>
        <v>-0.002922436586</v>
      </c>
      <c r="C741" s="32">
        <f>IFERROR(__xludf.DUMMYFUNCTION("FILTER(IRCTC.NS!H:H,IRCTC.NS!A:A=A741)"),-0.01648129307604997)</f>
        <v>-0.01648129308</v>
      </c>
      <c r="D741" s="32">
        <f>IFERROR(__xludf.DUMMYFUNCTION("FILTER(TATAELXSI.NS!H:H,TATAELXSI.NS!A:A=A741)"),4.2369575259965174E-4)</f>
        <v>0.0004236957526</v>
      </c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1">
        <f>IFERROR(__xludf.DUMMYFUNCTION("""COMPUTED_VALUE"""),45441.0)</f>
        <v>45441</v>
      </c>
      <c r="B742" s="32">
        <f>IFERROR(__xludf.DUMMYFUNCTION("FILTER(INFY.NS!H:H,INFY.NS!A:A=A742)"),-0.01097447085119854)</f>
        <v>-0.01097447085</v>
      </c>
      <c r="C742" s="32">
        <f>IFERROR(__xludf.DUMMYFUNCTION("FILTER(IRCTC.NS!H:H,IRCTC.NS!A:A=A742)"),-0.03711564296073804)</f>
        <v>-0.03711564296</v>
      </c>
      <c r="D742" s="32">
        <f>IFERROR(__xludf.DUMMYFUNCTION("FILTER(TATAELXSI.NS!H:H,TATAELXSI.NS!A:A=A742)"),-0.004057392505037532)</f>
        <v>-0.004057392505</v>
      </c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1">
        <f>IFERROR(__xludf.DUMMYFUNCTION("""COMPUTED_VALUE"""),45443.0)</f>
        <v>45443</v>
      </c>
      <c r="B743" s="32">
        <f>IFERROR(__xludf.DUMMYFUNCTION("FILTER(INFY.NS!H:H,INFY.NS!A:A=A743)"),-0.030359370403948566)</f>
        <v>-0.0303593704</v>
      </c>
      <c r="C743" s="32">
        <f>IFERROR(__xludf.DUMMYFUNCTION("FILTER(IRCTC.NS!H:H,IRCTC.NS!A:A=A743)"),-0.021622444607403767)</f>
        <v>-0.02162244461</v>
      </c>
      <c r="D743" s="32">
        <f>IFERROR(__xludf.DUMMYFUNCTION("FILTER(TATAELXSI.NS!H:H,TATAELXSI.NS!A:A=A743)"),-0.047440411476930705)</f>
        <v>-0.04744041148</v>
      </c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3"/>
      <c r="B744" s="32" t="str">
        <f>IFERROR(__xludf.DUMMYFUNCTION("FILTER(INFY.NS!H:H,INFY.NS!A:A=A744)"),"")</f>
        <v/>
      </c>
      <c r="C744" s="33" t="str">
        <f>IFERROR(__xludf.DUMMYFUNCTION("FILTER(IRCTC.NS!H:H,IRCTC.NS!A:A=A744)"),"")</f>
        <v/>
      </c>
      <c r="D744" s="33" t="str">
        <f>IFERROR(__xludf.DUMMYFUNCTION("FILTER(TATAELXSI.NS!H:H,TATAELXSI.NS!A:A=A744)"),"")</f>
        <v/>
      </c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3"/>
      <c r="B745" s="32"/>
      <c r="C745" s="33"/>
      <c r="D745" s="33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3"/>
      <c r="B746" s="32"/>
      <c r="C746" s="33"/>
      <c r="D746" s="33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3"/>
      <c r="B747" s="32"/>
      <c r="C747" s="33"/>
      <c r="D747" s="33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3"/>
      <c r="B748" s="32"/>
      <c r="C748" s="33"/>
      <c r="D748" s="33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3"/>
      <c r="B749" s="32"/>
      <c r="C749" s="33"/>
      <c r="D749" s="33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3"/>
      <c r="B750" s="32"/>
      <c r="C750" s="33"/>
      <c r="D750" s="33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3"/>
      <c r="B751" s="32"/>
      <c r="C751" s="33"/>
      <c r="D751" s="33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3"/>
      <c r="B752" s="32"/>
      <c r="C752" s="33"/>
      <c r="D752" s="33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3"/>
      <c r="B753" s="32"/>
      <c r="C753" s="33"/>
      <c r="D753" s="33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3"/>
      <c r="B754" s="32"/>
      <c r="C754" s="33"/>
      <c r="D754" s="33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3"/>
      <c r="B755" s="32"/>
      <c r="C755" s="33"/>
      <c r="D755" s="33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3"/>
      <c r="B756" s="32"/>
      <c r="C756" s="33"/>
      <c r="D756" s="33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3"/>
      <c r="B757" s="32"/>
      <c r="C757" s="33"/>
      <c r="D757" s="33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3"/>
      <c r="B758" s="32"/>
      <c r="C758" s="33"/>
      <c r="D758" s="33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3"/>
      <c r="B759" s="32"/>
      <c r="C759" s="33"/>
      <c r="D759" s="33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3"/>
      <c r="B760" s="32"/>
      <c r="C760" s="33"/>
      <c r="D760" s="33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3"/>
      <c r="B761" s="32"/>
      <c r="C761" s="33"/>
      <c r="D761" s="33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3"/>
      <c r="B762" s="32"/>
      <c r="C762" s="33"/>
      <c r="D762" s="33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3"/>
      <c r="B763" s="32"/>
      <c r="C763" s="33"/>
      <c r="D763" s="33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3"/>
      <c r="B764" s="32"/>
      <c r="C764" s="33"/>
      <c r="D764" s="33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3"/>
      <c r="B765" s="32"/>
      <c r="C765" s="33"/>
      <c r="D765" s="33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3"/>
      <c r="B766" s="32"/>
      <c r="C766" s="33"/>
      <c r="D766" s="33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3"/>
      <c r="B767" s="32"/>
      <c r="C767" s="33"/>
      <c r="D767" s="33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3"/>
      <c r="B768" s="32"/>
      <c r="C768" s="33"/>
      <c r="D768" s="33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3"/>
      <c r="B769" s="32"/>
      <c r="C769" s="33"/>
      <c r="D769" s="33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3"/>
      <c r="B770" s="32"/>
      <c r="C770" s="33"/>
      <c r="D770" s="33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3"/>
      <c r="B771" s="32"/>
      <c r="C771" s="33"/>
      <c r="D771" s="33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3"/>
      <c r="B772" s="32"/>
      <c r="C772" s="33"/>
      <c r="D772" s="33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3"/>
      <c r="B773" s="32"/>
      <c r="C773" s="33"/>
      <c r="D773" s="33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3"/>
      <c r="B774" s="32"/>
      <c r="C774" s="33"/>
      <c r="D774" s="33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3"/>
      <c r="B775" s="32"/>
      <c r="C775" s="33"/>
      <c r="D775" s="33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3"/>
      <c r="B776" s="32"/>
      <c r="C776" s="33"/>
      <c r="D776" s="33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3"/>
      <c r="B777" s="32"/>
      <c r="C777" s="33"/>
      <c r="D777" s="33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3"/>
      <c r="B778" s="32"/>
      <c r="C778" s="33"/>
      <c r="D778" s="33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3"/>
      <c r="B779" s="32"/>
      <c r="C779" s="33"/>
      <c r="D779" s="33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3"/>
      <c r="B780" s="32"/>
      <c r="C780" s="33"/>
      <c r="D780" s="33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3"/>
      <c r="B781" s="32"/>
      <c r="C781" s="33"/>
      <c r="D781" s="33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3"/>
      <c r="B782" s="32"/>
      <c r="C782" s="33"/>
      <c r="D782" s="33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3"/>
      <c r="B783" s="32"/>
      <c r="C783" s="33"/>
      <c r="D783" s="33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3"/>
      <c r="B784" s="32"/>
      <c r="C784" s="33"/>
      <c r="D784" s="33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3"/>
      <c r="B785" s="32"/>
      <c r="C785" s="33"/>
      <c r="D785" s="33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3"/>
      <c r="B786" s="32"/>
      <c r="C786" s="33"/>
      <c r="D786" s="33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3"/>
      <c r="B787" s="32"/>
      <c r="C787" s="33"/>
      <c r="D787" s="33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3"/>
      <c r="B788" s="32"/>
      <c r="C788" s="33"/>
      <c r="D788" s="33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3"/>
      <c r="B789" s="32"/>
      <c r="C789" s="33"/>
      <c r="D789" s="33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3"/>
      <c r="B790" s="32"/>
      <c r="C790" s="33"/>
      <c r="D790" s="33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3"/>
      <c r="B791" s="32"/>
      <c r="C791" s="33"/>
      <c r="D791" s="33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3"/>
      <c r="B792" s="32"/>
      <c r="C792" s="33"/>
      <c r="D792" s="33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3"/>
      <c r="B793" s="32"/>
      <c r="C793" s="33"/>
      <c r="D793" s="33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3"/>
      <c r="B794" s="32"/>
      <c r="C794" s="33"/>
      <c r="D794" s="33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3"/>
      <c r="B795" s="32"/>
      <c r="C795" s="33"/>
      <c r="D795" s="33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3"/>
      <c r="B796" s="32"/>
      <c r="C796" s="33"/>
      <c r="D796" s="33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3"/>
      <c r="B797" s="32"/>
      <c r="C797" s="33"/>
      <c r="D797" s="33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3"/>
      <c r="B798" s="32"/>
      <c r="C798" s="33"/>
      <c r="D798" s="33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3"/>
      <c r="B799" s="32"/>
      <c r="C799" s="33"/>
      <c r="D799" s="33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3"/>
      <c r="B800" s="32"/>
      <c r="C800" s="33"/>
      <c r="D800" s="33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3"/>
      <c r="B801" s="32"/>
      <c r="C801" s="33"/>
      <c r="D801" s="33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3"/>
      <c r="B802" s="32"/>
      <c r="C802" s="33"/>
      <c r="D802" s="33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3"/>
      <c r="B803" s="32"/>
      <c r="C803" s="33"/>
      <c r="D803" s="33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3"/>
      <c r="B804" s="32"/>
      <c r="C804" s="33"/>
      <c r="D804" s="33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3"/>
      <c r="B805" s="32"/>
      <c r="C805" s="33"/>
      <c r="D805" s="33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3"/>
      <c r="B806" s="32"/>
      <c r="C806" s="33"/>
      <c r="D806" s="33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3"/>
      <c r="B807" s="32"/>
      <c r="C807" s="33"/>
      <c r="D807" s="33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3"/>
      <c r="B808" s="32"/>
      <c r="C808" s="33"/>
      <c r="D808" s="33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3"/>
      <c r="B809" s="32"/>
      <c r="C809" s="33"/>
      <c r="D809" s="33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3"/>
      <c r="B810" s="32"/>
      <c r="C810" s="33"/>
      <c r="D810" s="33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3"/>
      <c r="B811" s="32"/>
      <c r="C811" s="33"/>
      <c r="D811" s="33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3"/>
      <c r="B812" s="32"/>
      <c r="C812" s="33"/>
      <c r="D812" s="33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3"/>
      <c r="B813" s="32"/>
      <c r="C813" s="33"/>
      <c r="D813" s="33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3"/>
      <c r="B814" s="32"/>
      <c r="C814" s="33"/>
      <c r="D814" s="33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3"/>
      <c r="B815" s="32"/>
      <c r="C815" s="33"/>
      <c r="D815" s="33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3"/>
      <c r="B816" s="32"/>
      <c r="C816" s="33"/>
      <c r="D816" s="33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3"/>
      <c r="B817" s="32"/>
      <c r="C817" s="33"/>
      <c r="D817" s="33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3"/>
      <c r="B818" s="32"/>
      <c r="C818" s="33"/>
      <c r="D818" s="33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3"/>
      <c r="B819" s="32"/>
      <c r="C819" s="33"/>
      <c r="D819" s="33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3"/>
      <c r="B820" s="32"/>
      <c r="C820" s="33"/>
      <c r="D820" s="33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3"/>
      <c r="B821" s="32"/>
      <c r="C821" s="33"/>
      <c r="D821" s="33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3"/>
      <c r="B822" s="32"/>
      <c r="C822" s="33"/>
      <c r="D822" s="33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3"/>
      <c r="B823" s="32"/>
      <c r="C823" s="33"/>
      <c r="D823" s="33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3"/>
      <c r="B824" s="32"/>
      <c r="C824" s="33"/>
      <c r="D824" s="33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3"/>
      <c r="B825" s="32"/>
      <c r="C825" s="33"/>
      <c r="D825" s="33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3"/>
      <c r="B826" s="32"/>
      <c r="C826" s="33"/>
      <c r="D826" s="33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3"/>
      <c r="B827" s="32"/>
      <c r="C827" s="33"/>
      <c r="D827" s="33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3"/>
      <c r="B828" s="32"/>
      <c r="C828" s="33"/>
      <c r="D828" s="33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3"/>
      <c r="B829" s="32"/>
      <c r="C829" s="33"/>
      <c r="D829" s="33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3"/>
      <c r="B830" s="32"/>
      <c r="C830" s="33"/>
      <c r="D830" s="33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3"/>
      <c r="B831" s="32"/>
      <c r="C831" s="33"/>
      <c r="D831" s="33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3"/>
      <c r="B832" s="32"/>
      <c r="C832" s="33"/>
      <c r="D832" s="33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3"/>
      <c r="B833" s="32"/>
      <c r="C833" s="33"/>
      <c r="D833" s="33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3"/>
      <c r="B834" s="32"/>
      <c r="C834" s="33"/>
      <c r="D834" s="33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3"/>
      <c r="B835" s="32"/>
      <c r="C835" s="33"/>
      <c r="D835" s="33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3"/>
      <c r="B836" s="32"/>
      <c r="C836" s="33"/>
      <c r="D836" s="33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3"/>
      <c r="B837" s="32"/>
      <c r="C837" s="33"/>
      <c r="D837" s="33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3"/>
      <c r="B838" s="32"/>
      <c r="C838" s="33"/>
      <c r="D838" s="33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3"/>
      <c r="B839" s="32"/>
      <c r="C839" s="33"/>
      <c r="D839" s="33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3"/>
      <c r="B840" s="32"/>
      <c r="C840" s="33"/>
      <c r="D840" s="33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3"/>
      <c r="B841" s="32"/>
      <c r="C841" s="33"/>
      <c r="D841" s="33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3"/>
      <c r="B842" s="32"/>
      <c r="C842" s="33"/>
      <c r="D842" s="33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3"/>
      <c r="B843" s="32"/>
      <c r="C843" s="33"/>
      <c r="D843" s="33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3"/>
      <c r="B844" s="32"/>
      <c r="C844" s="33"/>
      <c r="D844" s="33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3"/>
      <c r="B845" s="32"/>
      <c r="C845" s="33"/>
      <c r="D845" s="33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3"/>
      <c r="B846" s="32"/>
      <c r="C846" s="33"/>
      <c r="D846" s="33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3"/>
      <c r="B847" s="32"/>
      <c r="C847" s="33"/>
      <c r="D847" s="33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3"/>
      <c r="B848" s="32"/>
      <c r="C848" s="33"/>
      <c r="D848" s="33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3"/>
      <c r="B849" s="32"/>
      <c r="C849" s="33"/>
      <c r="D849" s="33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3"/>
      <c r="B850" s="32"/>
      <c r="C850" s="33"/>
      <c r="D850" s="33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3"/>
      <c r="B851" s="32"/>
      <c r="C851" s="33"/>
      <c r="D851" s="33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3"/>
      <c r="B852" s="32"/>
      <c r="C852" s="33"/>
      <c r="D852" s="33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3"/>
      <c r="B853" s="32"/>
      <c r="C853" s="33"/>
      <c r="D853" s="33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3"/>
      <c r="B854" s="32"/>
      <c r="C854" s="33"/>
      <c r="D854" s="33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3"/>
      <c r="B855" s="32"/>
      <c r="C855" s="33"/>
      <c r="D855" s="33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3"/>
      <c r="B856" s="32"/>
      <c r="C856" s="33"/>
      <c r="D856" s="33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3"/>
      <c r="B857" s="32"/>
      <c r="C857" s="33"/>
      <c r="D857" s="33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3"/>
      <c r="B858" s="32"/>
      <c r="C858" s="33"/>
      <c r="D858" s="33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3"/>
      <c r="B859" s="32"/>
      <c r="C859" s="33"/>
      <c r="D859" s="33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3"/>
      <c r="B860" s="32"/>
      <c r="C860" s="33"/>
      <c r="D860" s="33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3"/>
      <c r="B861" s="32"/>
      <c r="C861" s="33"/>
      <c r="D861" s="33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3"/>
      <c r="B862" s="32"/>
      <c r="C862" s="33"/>
      <c r="D862" s="33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3"/>
      <c r="B863" s="32"/>
      <c r="C863" s="33"/>
      <c r="D863" s="33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3"/>
      <c r="B864" s="32"/>
      <c r="C864" s="33"/>
      <c r="D864" s="33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3"/>
      <c r="B865" s="32"/>
      <c r="C865" s="33"/>
      <c r="D865" s="33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3"/>
      <c r="B866" s="32"/>
      <c r="C866" s="33"/>
      <c r="D866" s="33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3"/>
      <c r="B867" s="32"/>
      <c r="C867" s="33"/>
      <c r="D867" s="33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3"/>
      <c r="B868" s="32"/>
      <c r="C868" s="33"/>
      <c r="D868" s="33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3"/>
      <c r="B869" s="32"/>
      <c r="C869" s="33"/>
      <c r="D869" s="33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3"/>
      <c r="B870" s="32"/>
      <c r="C870" s="33"/>
      <c r="D870" s="33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3"/>
      <c r="B871" s="32"/>
      <c r="C871" s="33"/>
      <c r="D871" s="33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3"/>
      <c r="B872" s="32"/>
      <c r="C872" s="33"/>
      <c r="D872" s="33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3"/>
      <c r="B873" s="32"/>
      <c r="C873" s="33"/>
      <c r="D873" s="33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3"/>
      <c r="B874" s="32"/>
      <c r="C874" s="33"/>
      <c r="D874" s="33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3"/>
      <c r="B875" s="32"/>
      <c r="C875" s="33"/>
      <c r="D875" s="33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3"/>
      <c r="B876" s="32"/>
      <c r="C876" s="33"/>
      <c r="D876" s="33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3"/>
      <c r="B877" s="32"/>
      <c r="C877" s="33"/>
      <c r="D877" s="33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3"/>
      <c r="B878" s="32"/>
      <c r="C878" s="33"/>
      <c r="D878" s="33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3"/>
      <c r="B879" s="32"/>
      <c r="C879" s="33"/>
      <c r="D879" s="33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3"/>
      <c r="B880" s="32"/>
      <c r="C880" s="33"/>
      <c r="D880" s="33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3"/>
      <c r="B881" s="32"/>
      <c r="C881" s="33"/>
      <c r="D881" s="33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3"/>
      <c r="B882" s="32"/>
      <c r="C882" s="33"/>
      <c r="D882" s="33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3"/>
      <c r="B883" s="32"/>
      <c r="C883" s="33"/>
      <c r="D883" s="33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3"/>
      <c r="B884" s="32"/>
      <c r="C884" s="33"/>
      <c r="D884" s="33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3"/>
      <c r="B885" s="32"/>
      <c r="C885" s="33"/>
      <c r="D885" s="33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3"/>
      <c r="B886" s="32"/>
      <c r="C886" s="33"/>
      <c r="D886" s="33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3"/>
      <c r="B887" s="32"/>
      <c r="C887" s="33"/>
      <c r="D887" s="33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3"/>
      <c r="B888" s="32"/>
      <c r="C888" s="33"/>
      <c r="D888" s="33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3"/>
      <c r="B889" s="32"/>
      <c r="C889" s="33"/>
      <c r="D889" s="33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3"/>
      <c r="B890" s="32"/>
      <c r="C890" s="33"/>
      <c r="D890" s="33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3"/>
      <c r="B891" s="32"/>
      <c r="C891" s="33"/>
      <c r="D891" s="33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3"/>
      <c r="B892" s="32"/>
      <c r="C892" s="33"/>
      <c r="D892" s="33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3"/>
      <c r="B893" s="32"/>
      <c r="C893" s="33"/>
      <c r="D893" s="33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3"/>
      <c r="B894" s="32"/>
      <c r="C894" s="33"/>
      <c r="D894" s="33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3"/>
      <c r="B895" s="32"/>
      <c r="C895" s="33"/>
      <c r="D895" s="33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3"/>
      <c r="B896" s="32"/>
      <c r="C896" s="33"/>
      <c r="D896" s="33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3"/>
      <c r="B897" s="32"/>
      <c r="C897" s="33"/>
      <c r="D897" s="33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3"/>
      <c r="B898" s="32"/>
      <c r="C898" s="33"/>
      <c r="D898" s="33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3"/>
      <c r="B899" s="32"/>
      <c r="C899" s="33"/>
      <c r="D899" s="33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3"/>
      <c r="B900" s="32"/>
      <c r="C900" s="33"/>
      <c r="D900" s="33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3"/>
      <c r="B901" s="32"/>
      <c r="C901" s="33"/>
      <c r="D901" s="33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3"/>
      <c r="B902" s="32"/>
      <c r="C902" s="33"/>
      <c r="D902" s="33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3"/>
      <c r="B903" s="32"/>
      <c r="C903" s="33"/>
      <c r="D903" s="33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3"/>
      <c r="B904" s="32"/>
      <c r="C904" s="33"/>
      <c r="D904" s="33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3"/>
      <c r="B905" s="32"/>
      <c r="C905" s="33"/>
      <c r="D905" s="33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3"/>
      <c r="B906" s="32"/>
      <c r="C906" s="33"/>
      <c r="D906" s="33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3"/>
      <c r="B907" s="32"/>
      <c r="C907" s="33"/>
      <c r="D907" s="33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3"/>
      <c r="B908" s="32"/>
      <c r="C908" s="33"/>
      <c r="D908" s="33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3"/>
      <c r="B909" s="32"/>
      <c r="C909" s="33"/>
      <c r="D909" s="33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3"/>
      <c r="B910" s="32"/>
      <c r="C910" s="33"/>
      <c r="D910" s="33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3"/>
      <c r="B911" s="32"/>
      <c r="C911" s="33"/>
      <c r="D911" s="33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3"/>
      <c r="B912" s="32"/>
      <c r="C912" s="33"/>
      <c r="D912" s="33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3"/>
      <c r="B913" s="32"/>
      <c r="C913" s="33"/>
      <c r="D913" s="33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3"/>
      <c r="B914" s="32"/>
      <c r="C914" s="33"/>
      <c r="D914" s="33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3"/>
      <c r="B915" s="32"/>
      <c r="C915" s="33"/>
      <c r="D915" s="33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3"/>
      <c r="B916" s="32"/>
      <c r="C916" s="33"/>
      <c r="D916" s="33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3"/>
      <c r="B917" s="32"/>
      <c r="C917" s="33"/>
      <c r="D917" s="33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3"/>
      <c r="B918" s="32"/>
      <c r="C918" s="33"/>
      <c r="D918" s="33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3"/>
      <c r="B919" s="32"/>
      <c r="C919" s="33"/>
      <c r="D919" s="33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3"/>
      <c r="B920" s="32"/>
      <c r="C920" s="33"/>
      <c r="D920" s="33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3"/>
      <c r="B921" s="32"/>
      <c r="C921" s="33"/>
      <c r="D921" s="33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3"/>
      <c r="B922" s="32"/>
      <c r="C922" s="33"/>
      <c r="D922" s="33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3"/>
      <c r="B923" s="32"/>
      <c r="C923" s="33"/>
      <c r="D923" s="33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3"/>
      <c r="B924" s="32"/>
      <c r="C924" s="33"/>
      <c r="D924" s="33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3"/>
      <c r="B925" s="32"/>
      <c r="C925" s="33"/>
      <c r="D925" s="33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3"/>
      <c r="B926" s="32"/>
      <c r="C926" s="33"/>
      <c r="D926" s="33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3"/>
      <c r="B927" s="32"/>
      <c r="C927" s="33"/>
      <c r="D927" s="33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3"/>
      <c r="B928" s="32"/>
      <c r="C928" s="33"/>
      <c r="D928" s="33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3"/>
      <c r="B929" s="32"/>
      <c r="C929" s="33"/>
      <c r="D929" s="33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3"/>
      <c r="B930" s="32"/>
      <c r="C930" s="33"/>
      <c r="D930" s="33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3"/>
      <c r="B931" s="32"/>
      <c r="C931" s="33"/>
      <c r="D931" s="33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3"/>
      <c r="B932" s="32"/>
      <c r="C932" s="33"/>
      <c r="D932" s="33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3"/>
      <c r="B933" s="32"/>
      <c r="C933" s="33"/>
      <c r="D933" s="33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3"/>
      <c r="B934" s="32"/>
      <c r="C934" s="33"/>
      <c r="D934" s="33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3"/>
      <c r="B935" s="32"/>
      <c r="C935" s="33"/>
      <c r="D935" s="33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3"/>
      <c r="B936" s="32"/>
      <c r="C936" s="33"/>
      <c r="D936" s="33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3"/>
      <c r="B937" s="32"/>
      <c r="C937" s="33"/>
      <c r="D937" s="33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3"/>
      <c r="B938" s="32"/>
      <c r="C938" s="33"/>
      <c r="D938" s="33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3"/>
      <c r="B939" s="32"/>
      <c r="C939" s="33"/>
      <c r="D939" s="33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3"/>
      <c r="B940" s="32"/>
      <c r="C940" s="33"/>
      <c r="D940" s="33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3"/>
      <c r="B941" s="32"/>
      <c r="C941" s="33"/>
      <c r="D941" s="33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3"/>
      <c r="B942" s="32"/>
      <c r="C942" s="33"/>
      <c r="D942" s="33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3"/>
      <c r="B943" s="32"/>
      <c r="C943" s="33"/>
      <c r="D943" s="33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3"/>
      <c r="B944" s="32"/>
      <c r="C944" s="33"/>
      <c r="D944" s="33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3"/>
      <c r="B945" s="32"/>
      <c r="C945" s="33"/>
      <c r="D945" s="33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3"/>
      <c r="B946" s="32"/>
      <c r="C946" s="33"/>
      <c r="D946" s="33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3"/>
      <c r="B947" s="32"/>
      <c r="C947" s="33"/>
      <c r="D947" s="33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3"/>
      <c r="B948" s="32"/>
      <c r="C948" s="33"/>
      <c r="D948" s="33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3"/>
      <c r="B949" s="32"/>
      <c r="C949" s="33"/>
      <c r="D949" s="33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3"/>
      <c r="B950" s="32"/>
      <c r="C950" s="33"/>
      <c r="D950" s="33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3"/>
      <c r="B951" s="32"/>
      <c r="C951" s="33"/>
      <c r="D951" s="33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3"/>
      <c r="B952" s="32"/>
      <c r="C952" s="33"/>
      <c r="D952" s="33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3"/>
      <c r="B953" s="32"/>
      <c r="C953" s="33"/>
      <c r="D953" s="33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3"/>
      <c r="B954" s="32"/>
      <c r="C954" s="33"/>
      <c r="D954" s="33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3"/>
      <c r="B955" s="32"/>
      <c r="C955" s="33"/>
      <c r="D955" s="33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3"/>
      <c r="B956" s="32"/>
      <c r="C956" s="33"/>
      <c r="D956" s="33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3"/>
      <c r="B957" s="32"/>
      <c r="C957" s="33"/>
      <c r="D957" s="33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3"/>
      <c r="B958" s="32"/>
      <c r="C958" s="33"/>
      <c r="D958" s="33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3"/>
      <c r="B959" s="32"/>
      <c r="C959" s="33"/>
      <c r="D959" s="33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3"/>
      <c r="B960" s="32"/>
      <c r="C960" s="33"/>
      <c r="D960" s="33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3"/>
      <c r="B961" s="32"/>
      <c r="C961" s="33"/>
      <c r="D961" s="33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3"/>
      <c r="B962" s="32"/>
      <c r="C962" s="33"/>
      <c r="D962" s="33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3"/>
      <c r="B963" s="32"/>
      <c r="C963" s="33"/>
      <c r="D963" s="33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3"/>
      <c r="B964" s="32"/>
      <c r="C964" s="33"/>
      <c r="D964" s="33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3"/>
      <c r="B965" s="32"/>
      <c r="C965" s="33"/>
      <c r="D965" s="33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3"/>
      <c r="B966" s="32"/>
      <c r="C966" s="33"/>
      <c r="D966" s="33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3"/>
      <c r="B967" s="32"/>
      <c r="C967" s="33"/>
      <c r="D967" s="33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3"/>
      <c r="B968" s="32"/>
      <c r="C968" s="33"/>
      <c r="D968" s="33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3"/>
      <c r="B969" s="32"/>
      <c r="C969" s="33"/>
      <c r="D969" s="33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3"/>
      <c r="B970" s="32"/>
      <c r="C970" s="33"/>
      <c r="D970" s="33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3"/>
      <c r="B971" s="32"/>
      <c r="C971" s="33"/>
      <c r="D971" s="33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3"/>
      <c r="B972" s="32"/>
      <c r="C972" s="33"/>
      <c r="D972" s="33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3"/>
      <c r="B973" s="32"/>
      <c r="C973" s="33"/>
      <c r="D973" s="33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3"/>
      <c r="B974" s="32"/>
      <c r="C974" s="33"/>
      <c r="D974" s="33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3"/>
      <c r="B975" s="32"/>
      <c r="C975" s="33"/>
      <c r="D975" s="33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3"/>
      <c r="B976" s="32"/>
      <c r="C976" s="33"/>
      <c r="D976" s="33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3"/>
      <c r="B977" s="32"/>
      <c r="C977" s="33"/>
      <c r="D977" s="33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3"/>
      <c r="B978" s="32"/>
      <c r="C978" s="33"/>
      <c r="D978" s="33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3"/>
      <c r="B979" s="32"/>
      <c r="C979" s="33"/>
      <c r="D979" s="33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3"/>
      <c r="B980" s="32"/>
      <c r="C980" s="33"/>
      <c r="D980" s="33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3"/>
      <c r="B981" s="32"/>
      <c r="C981" s="33"/>
      <c r="D981" s="33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3"/>
      <c r="B982" s="32"/>
      <c r="C982" s="33"/>
      <c r="D982" s="33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3"/>
      <c r="B983" s="32"/>
      <c r="C983" s="33"/>
      <c r="D983" s="33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3"/>
      <c r="B984" s="32"/>
      <c r="C984" s="33"/>
      <c r="D984" s="33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3"/>
      <c r="B985" s="32"/>
      <c r="C985" s="33"/>
      <c r="D985" s="33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3"/>
      <c r="B986" s="32"/>
      <c r="C986" s="33"/>
      <c r="D986" s="33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3"/>
      <c r="B987" s="32"/>
      <c r="C987" s="33"/>
      <c r="D987" s="33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3"/>
      <c r="B988" s="32"/>
      <c r="C988" s="33"/>
      <c r="D988" s="33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3"/>
      <c r="B989" s="32"/>
      <c r="C989" s="33"/>
      <c r="D989" s="33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3"/>
      <c r="B990" s="32"/>
      <c r="C990" s="33"/>
      <c r="D990" s="33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3"/>
      <c r="B991" s="32"/>
      <c r="C991" s="33"/>
      <c r="D991" s="33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3"/>
      <c r="B992" s="32"/>
      <c r="C992" s="33"/>
      <c r="D992" s="33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3"/>
      <c r="B993" s="32"/>
      <c r="C993" s="33"/>
      <c r="D993" s="33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3"/>
      <c r="B994" s="32"/>
      <c r="C994" s="33"/>
      <c r="D994" s="33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3"/>
      <c r="B995" s="32"/>
      <c r="C995" s="33"/>
      <c r="D995" s="33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3"/>
      <c r="B996" s="32"/>
      <c r="C996" s="33"/>
      <c r="D996" s="33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3"/>
      <c r="B997" s="32"/>
      <c r="C997" s="33"/>
      <c r="D997" s="33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3"/>
      <c r="B998" s="32"/>
      <c r="C998" s="33"/>
      <c r="D998" s="33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3"/>
      <c r="B999" s="32"/>
      <c r="C999" s="33"/>
      <c r="D999" s="33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3"/>
      <c r="B1000" s="33"/>
      <c r="C1000" s="33"/>
      <c r="D1000" s="33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conditionalFormatting sqref="A1:P1000 R1:Z1000 Q2:Q1000">
    <cfRule type="cellIs" dxfId="0" priority="1" operator="equal">
      <formula>"Return - INFY"</formula>
    </cfRule>
  </conditionalFormatting>
  <conditionalFormatting sqref="A1:P1000 R1:Z1000 Q2:Q1000">
    <cfRule type="cellIs" dxfId="1" priority="2" operator="equal">
      <formula>"Return - IRCTC"</formula>
    </cfRule>
  </conditionalFormatting>
  <conditionalFormatting sqref="A1:P1000 R1:Z1000 Q2:Q1000">
    <cfRule type="cellIs" dxfId="2" priority="3" operator="equal">
      <formula>"Return - TATAELXSI"</formula>
    </cfRule>
  </conditionalFormatting>
  <conditionalFormatting sqref="A1:P1000 R1:Z1000 Q2:Q1000">
    <cfRule type="cellIs" dxfId="3" priority="4" operator="equal">
      <formula>"Combined Index"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63"/>
    <col customWidth="1" min="3" max="3" width="13.75"/>
    <col customWidth="1" min="4" max="4" width="17.75"/>
    <col customWidth="1" min="6" max="6" width="15.88"/>
  </cols>
  <sheetData>
    <row r="1">
      <c r="A1" s="20" t="s">
        <v>14</v>
      </c>
      <c r="B1" s="21" t="s">
        <v>21</v>
      </c>
      <c r="C1" s="22" t="s">
        <v>22</v>
      </c>
      <c r="D1" s="23" t="s">
        <v>23</v>
      </c>
      <c r="F1" s="28" t="s">
        <v>25</v>
      </c>
    </row>
    <row r="2">
      <c r="A2" s="31">
        <v>44348.0</v>
      </c>
      <c r="B2" s="32">
        <v>-0.004699586726457359</v>
      </c>
      <c r="C2" s="32">
        <v>-0.00451871041461582</v>
      </c>
      <c r="D2" s="32">
        <v>-0.0093727673671925</v>
      </c>
      <c r="F2" s="17">
        <f t="shared" ref="F2:F742" si="1">(0.3*B2)+(0.3*C2)+(0.4*D2)</f>
        <v>-0.006514596089</v>
      </c>
    </row>
    <row r="3">
      <c r="A3" s="31">
        <v>44349.0</v>
      </c>
      <c r="B3" s="32">
        <v>-0.006163442403408811</v>
      </c>
      <c r="C3" s="32">
        <v>0.012324455926797411</v>
      </c>
      <c r="D3" s="32">
        <v>-0.004986978580574029</v>
      </c>
      <c r="F3" s="17">
        <f t="shared" si="1"/>
        <v>-0.0001464873752</v>
      </c>
    </row>
    <row r="4">
      <c r="A4" s="31">
        <v>44350.0</v>
      </c>
      <c r="B4" s="32">
        <v>0.007978819721110019</v>
      </c>
      <c r="C4" s="32">
        <v>0.002007322943844473</v>
      </c>
      <c r="D4" s="32">
        <v>-0.006306705635144306</v>
      </c>
      <c r="F4" s="17">
        <f t="shared" si="1"/>
        <v>0.0004731605454</v>
      </c>
    </row>
    <row r="5">
      <c r="A5" s="31">
        <v>44351.0</v>
      </c>
      <c r="B5" s="32">
        <v>-0.002878422574689928</v>
      </c>
      <c r="C5" s="32">
        <v>-5.2005933968411366E-5</v>
      </c>
      <c r="D5" s="32">
        <v>-7.28573870402771E-4</v>
      </c>
      <c r="F5" s="17">
        <f t="shared" si="1"/>
        <v>-0.001170558101</v>
      </c>
    </row>
    <row r="6">
      <c r="A6" s="31">
        <v>44354.0</v>
      </c>
      <c r="B6" s="32">
        <v>0.0028867318086951512</v>
      </c>
      <c r="C6" s="32">
        <v>0.09007648269840753</v>
      </c>
      <c r="D6" s="32">
        <v>0.013137444944118866</v>
      </c>
      <c r="F6" s="17">
        <f t="shared" si="1"/>
        <v>0.03314394233</v>
      </c>
    </row>
    <row r="7">
      <c r="A7" s="31">
        <v>44355.0</v>
      </c>
      <c r="B7" s="32">
        <v>0.01676675896635686</v>
      </c>
      <c r="C7" s="32">
        <v>0.02389252008552774</v>
      </c>
      <c r="D7" s="32">
        <v>0.03571825325214502</v>
      </c>
      <c r="F7" s="17">
        <f t="shared" si="1"/>
        <v>0.02648508502</v>
      </c>
    </row>
    <row r="8">
      <c r="A8" s="31">
        <v>44356.0</v>
      </c>
      <c r="B8" s="32">
        <v>0.0016632563654053229</v>
      </c>
      <c r="C8" s="32">
        <v>-0.034338091161764124</v>
      </c>
      <c r="D8" s="32">
        <v>-0.008698453674797428</v>
      </c>
      <c r="F8" s="17">
        <f t="shared" si="1"/>
        <v>-0.01328183191</v>
      </c>
    </row>
    <row r="9">
      <c r="A9" s="31">
        <v>44357.0</v>
      </c>
      <c r="B9" s="32">
        <v>0.006359075594153393</v>
      </c>
      <c r="C9" s="32">
        <v>0.016970836157078974</v>
      </c>
      <c r="D9" s="32">
        <v>0.02353418223480252</v>
      </c>
      <c r="F9" s="17">
        <f t="shared" si="1"/>
        <v>0.01641264642</v>
      </c>
    </row>
    <row r="10">
      <c r="A10" s="31">
        <v>44358.0</v>
      </c>
      <c r="B10" s="32">
        <v>0.01586742555816628</v>
      </c>
      <c r="C10" s="32">
        <v>-0.005981885882689853</v>
      </c>
      <c r="D10" s="32">
        <v>0.006123577670655472</v>
      </c>
      <c r="F10" s="17">
        <f t="shared" si="1"/>
        <v>0.005415092971</v>
      </c>
    </row>
    <row r="11">
      <c r="A11" s="31">
        <v>44361.0</v>
      </c>
      <c r="B11" s="32">
        <v>0.01029789532991252</v>
      </c>
      <c r="C11" s="32">
        <v>-0.014017898507462727</v>
      </c>
      <c r="D11" s="32">
        <v>-0.0027355534262530432</v>
      </c>
      <c r="F11" s="17">
        <f t="shared" si="1"/>
        <v>-0.002210222324</v>
      </c>
    </row>
    <row r="12">
      <c r="A12" s="31">
        <v>44362.0</v>
      </c>
      <c r="B12" s="32">
        <v>0.008277448757973113</v>
      </c>
      <c r="C12" s="32">
        <v>0.016251673412956878</v>
      </c>
      <c r="D12" s="32">
        <v>-0.003123726032621452</v>
      </c>
      <c r="F12" s="17">
        <f t="shared" si="1"/>
        <v>0.006109246238</v>
      </c>
    </row>
    <row r="13">
      <c r="A13" s="31">
        <v>44363.0</v>
      </c>
      <c r="B13" s="32">
        <v>0.004545730301175393</v>
      </c>
      <c r="C13" s="32">
        <v>-0.0038132606002360637</v>
      </c>
      <c r="D13" s="32">
        <v>-0.005858809354894188</v>
      </c>
      <c r="F13" s="17">
        <f t="shared" si="1"/>
        <v>-0.002123782832</v>
      </c>
    </row>
    <row r="14">
      <c r="A14" s="31">
        <v>44364.0</v>
      </c>
      <c r="B14" s="32">
        <v>0.009928456867677252</v>
      </c>
      <c r="C14" s="32">
        <v>-0.01892390533084288</v>
      </c>
      <c r="D14" s="32">
        <v>-0.010886080740949588</v>
      </c>
      <c r="F14" s="17">
        <f t="shared" si="1"/>
        <v>-0.007053066835</v>
      </c>
    </row>
    <row r="15">
      <c r="A15" s="31">
        <v>44365.0</v>
      </c>
      <c r="B15" s="32">
        <v>0.0053500967951884285</v>
      </c>
      <c r="C15" s="32">
        <v>-0.018874344628771245</v>
      </c>
      <c r="D15" s="32">
        <v>-0.02527886901941989</v>
      </c>
      <c r="F15" s="17">
        <f t="shared" si="1"/>
        <v>-0.01416882196</v>
      </c>
    </row>
    <row r="16">
      <c r="A16" s="31">
        <v>44368.0</v>
      </c>
      <c r="B16" s="32">
        <v>-0.001995609593703938</v>
      </c>
      <c r="C16" s="32">
        <v>0.03238554240081076</v>
      </c>
      <c r="D16" s="32">
        <v>-0.0042170505657043765</v>
      </c>
      <c r="F16" s="17">
        <f t="shared" si="1"/>
        <v>0.007430159616</v>
      </c>
    </row>
    <row r="17">
      <c r="A17" s="31">
        <v>44369.0</v>
      </c>
      <c r="B17" s="32">
        <v>0.007698411399571997</v>
      </c>
      <c r="C17" s="32">
        <v>0.0029612418200789642</v>
      </c>
      <c r="D17" s="32">
        <v>0.01796056150743948</v>
      </c>
      <c r="F17" s="17">
        <f t="shared" si="1"/>
        <v>0.01038212057</v>
      </c>
    </row>
    <row r="18">
      <c r="A18" s="31">
        <v>44370.0</v>
      </c>
      <c r="B18" s="32">
        <v>-0.005754507482956721</v>
      </c>
      <c r="C18" s="32">
        <v>-0.002280393630143191</v>
      </c>
      <c r="D18" s="32">
        <v>-0.007791961509555279</v>
      </c>
      <c r="F18" s="17">
        <f t="shared" si="1"/>
        <v>-0.005527254938</v>
      </c>
    </row>
    <row r="19">
      <c r="A19" s="31">
        <v>44371.0</v>
      </c>
      <c r="B19" s="32">
        <v>0.037288311948295606</v>
      </c>
      <c r="C19" s="32">
        <v>-0.002550217768077262</v>
      </c>
      <c r="D19" s="32">
        <v>0.021633715855188442</v>
      </c>
      <c r="F19" s="17">
        <f t="shared" si="1"/>
        <v>0.0190749146</v>
      </c>
    </row>
    <row r="20">
      <c r="A20" s="31">
        <v>44372.0</v>
      </c>
      <c r="B20" s="32">
        <v>0.009620318414183942</v>
      </c>
      <c r="C20" s="32">
        <v>-0.0019778745457234223</v>
      </c>
      <c r="D20" s="32">
        <v>0.007620015439691326</v>
      </c>
      <c r="F20" s="17">
        <f t="shared" si="1"/>
        <v>0.005340739336</v>
      </c>
    </row>
    <row r="21">
      <c r="A21" s="31">
        <v>44375.0</v>
      </c>
      <c r="B21" s="32">
        <v>-0.0015245217092502063</v>
      </c>
      <c r="C21" s="32">
        <v>0.004301904554029836</v>
      </c>
      <c r="D21" s="32">
        <v>0.015270733683555608</v>
      </c>
      <c r="F21" s="17">
        <f t="shared" si="1"/>
        <v>0.006941508327</v>
      </c>
    </row>
    <row r="22">
      <c r="A22" s="31">
        <v>44376.0</v>
      </c>
      <c r="B22" s="32">
        <v>-0.005566865839943742</v>
      </c>
      <c r="C22" s="32">
        <v>0.0019733053150756737</v>
      </c>
      <c r="D22" s="32">
        <v>0.04619465847669705</v>
      </c>
      <c r="F22" s="17">
        <f t="shared" si="1"/>
        <v>0.01739979523</v>
      </c>
    </row>
    <row r="23">
      <c r="A23" s="31">
        <v>44377.0</v>
      </c>
      <c r="B23" s="32">
        <v>0.011356002331055236</v>
      </c>
      <c r="C23" s="32">
        <v>-0.023056430855446265</v>
      </c>
      <c r="D23" s="32">
        <v>0.07528194398851218</v>
      </c>
      <c r="F23" s="17">
        <f t="shared" si="1"/>
        <v>0.02660264904</v>
      </c>
    </row>
    <row r="24">
      <c r="A24" s="31">
        <v>44378.0</v>
      </c>
      <c r="B24" s="32">
        <v>-0.012904873714360516</v>
      </c>
      <c r="C24" s="32">
        <v>4.670993562408378E-4</v>
      </c>
      <c r="D24" s="32">
        <v>-0.014067283354580282</v>
      </c>
      <c r="F24" s="17">
        <f t="shared" si="1"/>
        <v>-0.009358245649</v>
      </c>
    </row>
    <row r="25">
      <c r="A25" s="31">
        <v>44379.0</v>
      </c>
      <c r="B25" s="32">
        <v>0.004742389698912177</v>
      </c>
      <c r="C25" s="32">
        <v>0.01265479190557578</v>
      </c>
      <c r="D25" s="32">
        <v>0.043781986450662655</v>
      </c>
      <c r="F25" s="17">
        <f t="shared" si="1"/>
        <v>0.02273194906</v>
      </c>
    </row>
    <row r="26">
      <c r="A26" s="31">
        <v>44382.0</v>
      </c>
      <c r="B26" s="32">
        <v>0.007111813784616173</v>
      </c>
      <c r="C26" s="32">
        <v>0.05486403344485825</v>
      </c>
      <c r="D26" s="32">
        <v>-0.01140070711994173</v>
      </c>
      <c r="F26" s="17">
        <f t="shared" si="1"/>
        <v>0.01403247132</v>
      </c>
    </row>
    <row r="27">
      <c r="A27" s="31">
        <v>44383.0</v>
      </c>
      <c r="B27" s="32">
        <v>-0.010608315982018102</v>
      </c>
      <c r="C27" s="32">
        <v>-0.002162315968526255</v>
      </c>
      <c r="D27" s="32">
        <v>-0.015254406315207383</v>
      </c>
      <c r="F27" s="17">
        <f t="shared" si="1"/>
        <v>-0.009932952111</v>
      </c>
    </row>
    <row r="28">
      <c r="A28" s="31">
        <v>44384.0</v>
      </c>
      <c r="B28" s="32">
        <v>0.0015363110198944783</v>
      </c>
      <c r="C28" s="32">
        <v>0.009013792726759671</v>
      </c>
      <c r="D28" s="32">
        <v>-0.015224048234680296</v>
      </c>
      <c r="F28" s="17">
        <f t="shared" si="1"/>
        <v>-0.00292458817</v>
      </c>
    </row>
    <row r="29">
      <c r="A29" s="31">
        <v>44385.0</v>
      </c>
      <c r="B29" s="32">
        <v>-0.0024606775271994313</v>
      </c>
      <c r="C29" s="32">
        <v>0.0024903401837357542</v>
      </c>
      <c r="D29" s="32">
        <v>-0.011208989992351263</v>
      </c>
      <c r="F29" s="17">
        <f t="shared" si="1"/>
        <v>-0.0044746972</v>
      </c>
    </row>
    <row r="30">
      <c r="A30" s="31">
        <v>44386.0</v>
      </c>
      <c r="B30" s="32">
        <v>0.0013775582252122571</v>
      </c>
      <c r="C30" s="32">
        <v>0.00699668856145841</v>
      </c>
      <c r="D30" s="32">
        <v>0.022957823767563734</v>
      </c>
      <c r="F30" s="17">
        <f t="shared" si="1"/>
        <v>0.01169540354</v>
      </c>
    </row>
    <row r="31">
      <c r="A31" s="31">
        <v>44389.0</v>
      </c>
      <c r="B31" s="32">
        <v>-0.009629565403346658</v>
      </c>
      <c r="C31" s="32">
        <v>0.02428421603325724</v>
      </c>
      <c r="D31" s="32">
        <v>0.009789610736923707</v>
      </c>
      <c r="F31" s="17">
        <f t="shared" si="1"/>
        <v>0.008312239484</v>
      </c>
    </row>
    <row r="32">
      <c r="A32" s="31">
        <v>44390.0</v>
      </c>
      <c r="B32" s="32">
        <v>-0.0018735827405536067</v>
      </c>
      <c r="C32" s="32">
        <v>0.005104132012801504</v>
      </c>
      <c r="D32" s="32">
        <v>-0.0068704634428661685</v>
      </c>
      <c r="F32" s="17">
        <f t="shared" si="1"/>
        <v>-0.001779020595</v>
      </c>
    </row>
    <row r="33">
      <c r="A33" s="31">
        <v>44391.0</v>
      </c>
      <c r="B33" s="32">
        <v>0.020680328821862253</v>
      </c>
      <c r="C33" s="32">
        <v>-0.0035393522541927636</v>
      </c>
      <c r="D33" s="32">
        <v>0.014892088368234234</v>
      </c>
      <c r="F33" s="17">
        <f t="shared" si="1"/>
        <v>0.01109912832</v>
      </c>
    </row>
    <row r="34">
      <c r="A34" s="31">
        <v>44392.0</v>
      </c>
      <c r="B34" s="32">
        <v>0.0024732227412280856</v>
      </c>
      <c r="C34" s="32">
        <v>8.383449541969304E-4</v>
      </c>
      <c r="D34" s="32">
        <v>0.026373644298197742</v>
      </c>
      <c r="F34" s="17">
        <f t="shared" si="1"/>
        <v>0.01154292803</v>
      </c>
    </row>
    <row r="35">
      <c r="A35" s="31">
        <v>44393.0</v>
      </c>
      <c r="B35" s="32">
        <v>-0.01603624570737845</v>
      </c>
      <c r="C35" s="32">
        <v>0.06980995177172375</v>
      </c>
      <c r="D35" s="32">
        <v>-0.041106770959313636</v>
      </c>
      <c r="F35" s="17">
        <f t="shared" si="1"/>
        <v>-0.0003105965644</v>
      </c>
    </row>
    <row r="36">
      <c r="A36" s="31">
        <v>44396.0</v>
      </c>
      <c r="B36" s="32">
        <v>-0.008839885842138549</v>
      </c>
      <c r="C36" s="32">
        <v>-8.859806966760215E-4</v>
      </c>
      <c r="D36" s="32">
        <v>-0.018430456998869305</v>
      </c>
      <c r="F36" s="17">
        <f t="shared" si="1"/>
        <v>-0.01028994276</v>
      </c>
    </row>
    <row r="37">
      <c r="A37" s="31">
        <v>44397.0</v>
      </c>
      <c r="B37" s="32">
        <v>0.005416162849706083</v>
      </c>
      <c r="C37" s="32">
        <v>-0.01808618087959805</v>
      </c>
      <c r="D37" s="32">
        <v>-0.007813702211338673</v>
      </c>
      <c r="F37" s="17">
        <f t="shared" si="1"/>
        <v>-0.006926486294</v>
      </c>
    </row>
    <row r="38">
      <c r="A38" s="31">
        <v>44399.0</v>
      </c>
      <c r="B38" s="32">
        <v>0.02590232620288773</v>
      </c>
      <c r="C38" s="32">
        <v>-0.006510839408241049</v>
      </c>
      <c r="D38" s="32">
        <v>0.013423699377015635</v>
      </c>
      <c r="F38" s="17">
        <f t="shared" si="1"/>
        <v>0.01118692579</v>
      </c>
    </row>
    <row r="39">
      <c r="A39" s="31">
        <v>44400.0</v>
      </c>
      <c r="B39" s="32">
        <v>1.5721293403561423E-4</v>
      </c>
      <c r="C39" s="32">
        <v>-0.01682766847098</v>
      </c>
      <c r="D39" s="32">
        <v>6.357337488103082E-4</v>
      </c>
      <c r="F39" s="17">
        <f t="shared" si="1"/>
        <v>-0.004746843162</v>
      </c>
    </row>
    <row r="40">
      <c r="A40" s="31">
        <v>44403.0</v>
      </c>
      <c r="B40" s="32">
        <v>0.008456772243315926</v>
      </c>
      <c r="C40" s="32">
        <v>-0.005182021983197813</v>
      </c>
      <c r="D40" s="32">
        <v>-0.01181364208308662</v>
      </c>
      <c r="F40" s="17">
        <f t="shared" si="1"/>
        <v>-0.003743031755</v>
      </c>
    </row>
    <row r="41">
      <c r="A41" s="31">
        <v>44404.0</v>
      </c>
      <c r="B41" s="32">
        <v>-8.416827606457383E-4</v>
      </c>
      <c r="C41" s="32">
        <v>-0.007673062225625235</v>
      </c>
      <c r="D41" s="32">
        <v>-0.005560738599949396</v>
      </c>
      <c r="F41" s="17">
        <f t="shared" si="1"/>
        <v>-0.004778718936</v>
      </c>
    </row>
    <row r="42">
      <c r="A42" s="31">
        <v>44405.0</v>
      </c>
      <c r="B42" s="32">
        <v>0.0019031711377146669</v>
      </c>
      <c r="C42" s="32">
        <v>-0.005183886384000131</v>
      </c>
      <c r="D42" s="32">
        <v>2.9934742261869123E-4</v>
      </c>
      <c r="F42" s="17">
        <f t="shared" si="1"/>
        <v>-0.0008644756048</v>
      </c>
    </row>
    <row r="43">
      <c r="A43" s="31">
        <v>44406.0</v>
      </c>
      <c r="B43" s="32">
        <v>0.007100164530645229</v>
      </c>
      <c r="C43" s="32">
        <v>0.016399163224682503</v>
      </c>
      <c r="D43" s="32">
        <v>0.023928703615034796</v>
      </c>
      <c r="F43" s="17">
        <f t="shared" si="1"/>
        <v>0.01662127977</v>
      </c>
    </row>
    <row r="44">
      <c r="A44" s="31">
        <v>44407.0</v>
      </c>
      <c r="B44" s="32">
        <v>-0.004019789734075448</v>
      </c>
      <c r="C44" s="32">
        <v>0.004394487517999031</v>
      </c>
      <c r="D44" s="32">
        <v>-0.011936143904523591</v>
      </c>
      <c r="F44" s="17">
        <f t="shared" si="1"/>
        <v>-0.004662048227</v>
      </c>
    </row>
    <row r="45">
      <c r="A45" s="31">
        <v>44410.0</v>
      </c>
      <c r="B45" s="32">
        <v>0.013070505433095278</v>
      </c>
      <c r="C45" s="32">
        <v>0.05902283792255731</v>
      </c>
      <c r="D45" s="32">
        <v>-7.335945175921632E-4</v>
      </c>
      <c r="F45" s="17">
        <f t="shared" si="1"/>
        <v>0.0213345652</v>
      </c>
    </row>
    <row r="46">
      <c r="A46" s="31">
        <v>44411.0</v>
      </c>
      <c r="B46" s="32">
        <v>0.014495357966184041</v>
      </c>
      <c r="C46" s="32">
        <v>-4.252744145677714E-4</v>
      </c>
      <c r="D46" s="32">
        <v>0.02323105558635415</v>
      </c>
      <c r="F46" s="17">
        <f t="shared" si="1"/>
        <v>0.0135134473</v>
      </c>
    </row>
    <row r="47">
      <c r="A47" s="31">
        <v>44412.0</v>
      </c>
      <c r="B47" s="32">
        <v>-0.003594702257213911</v>
      </c>
      <c r="C47" s="32">
        <v>0.00944142458802205</v>
      </c>
      <c r="D47" s="32">
        <v>-0.016096138669587774</v>
      </c>
      <c r="F47" s="17">
        <f t="shared" si="1"/>
        <v>-0.004684438769</v>
      </c>
    </row>
    <row r="48">
      <c r="A48" s="31">
        <v>44413.0</v>
      </c>
      <c r="B48" s="32">
        <v>0.002607275428224917</v>
      </c>
      <c r="C48" s="32">
        <v>-0.007325981814451506</v>
      </c>
      <c r="D48" s="32">
        <v>0.0031048271009742096</v>
      </c>
      <c r="F48" s="17">
        <f t="shared" si="1"/>
        <v>-0.0001736810755</v>
      </c>
    </row>
    <row r="49">
      <c r="A49" s="31">
        <v>44414.0</v>
      </c>
      <c r="B49" s="32">
        <v>-0.0020260033870918466</v>
      </c>
      <c r="C49" s="32">
        <v>0.005944441904803545</v>
      </c>
      <c r="D49" s="32">
        <v>-0.008230554596606312</v>
      </c>
      <c r="F49" s="17">
        <f t="shared" si="1"/>
        <v>-0.002116690283</v>
      </c>
    </row>
    <row r="50">
      <c r="A50" s="31">
        <v>44417.0</v>
      </c>
      <c r="B50" s="32">
        <v>0.007938491327709346</v>
      </c>
      <c r="C50" s="32">
        <v>0.06456027237128746</v>
      </c>
      <c r="D50" s="32">
        <v>0.009185498873098634</v>
      </c>
      <c r="F50" s="17">
        <f t="shared" si="1"/>
        <v>0.02542382866</v>
      </c>
    </row>
    <row r="51">
      <c r="A51" s="31">
        <v>44418.0</v>
      </c>
      <c r="B51" s="32">
        <v>0.008386911915494122</v>
      </c>
      <c r="C51" s="32">
        <v>-0.003247549186781038</v>
      </c>
      <c r="D51" s="32">
        <v>-0.006958205458109746</v>
      </c>
      <c r="F51" s="17">
        <f t="shared" si="1"/>
        <v>-0.001241473365</v>
      </c>
    </row>
    <row r="52">
      <c r="A52" s="31">
        <v>44419.0</v>
      </c>
      <c r="B52" s="32">
        <v>1.7889342674016665E-4</v>
      </c>
      <c r="C52" s="32">
        <v>-0.025515175469309686</v>
      </c>
      <c r="D52" s="32">
        <v>-0.010215706129113631</v>
      </c>
      <c r="F52" s="17">
        <f t="shared" si="1"/>
        <v>-0.01168716706</v>
      </c>
    </row>
    <row r="53">
      <c r="A53" s="31">
        <v>44420.0</v>
      </c>
      <c r="B53" s="32">
        <v>0.007183050667956569</v>
      </c>
      <c r="C53" s="32">
        <v>0.04569930887668045</v>
      </c>
      <c r="D53" s="32">
        <v>0.02343105321885339</v>
      </c>
      <c r="F53" s="17">
        <f t="shared" si="1"/>
        <v>0.02523712915</v>
      </c>
    </row>
    <row r="54">
      <c r="A54" s="31">
        <v>44421.0</v>
      </c>
      <c r="B54" s="32">
        <v>0.013375932363294546</v>
      </c>
      <c r="C54" s="32">
        <v>-0.010818660796322209</v>
      </c>
      <c r="D54" s="32">
        <v>0.008268119803829946</v>
      </c>
      <c r="F54" s="17">
        <f t="shared" si="1"/>
        <v>0.004074429392</v>
      </c>
    </row>
    <row r="55">
      <c r="A55" s="31">
        <v>44424.0</v>
      </c>
      <c r="B55" s="32">
        <v>-0.004555500071965616</v>
      </c>
      <c r="C55" s="32">
        <v>-0.011688713166965929</v>
      </c>
      <c r="D55" s="32">
        <v>0.01726686801132959</v>
      </c>
      <c r="F55" s="17">
        <f t="shared" si="1"/>
        <v>0.002033483233</v>
      </c>
    </row>
    <row r="56">
      <c r="A56" s="31">
        <v>44425.0</v>
      </c>
      <c r="B56" s="32">
        <v>0.021855198002508357</v>
      </c>
      <c r="C56" s="32">
        <v>0.015211439493828855</v>
      </c>
      <c r="D56" s="32">
        <v>0.07071083144756035</v>
      </c>
      <c r="F56" s="17">
        <f t="shared" si="1"/>
        <v>0.03940432383</v>
      </c>
    </row>
    <row r="57">
      <c r="A57" s="31">
        <v>44426.0</v>
      </c>
      <c r="B57" s="32">
        <v>-0.004708220875033832</v>
      </c>
      <c r="C57" s="32">
        <v>0.018523402972163993</v>
      </c>
      <c r="D57" s="32">
        <v>0.0014739822915010548</v>
      </c>
      <c r="F57" s="17">
        <f t="shared" si="1"/>
        <v>0.004734147546</v>
      </c>
    </row>
    <row r="58">
      <c r="A58" s="31">
        <v>44428.0</v>
      </c>
      <c r="B58" s="32">
        <v>-2.8844213224129016E-4</v>
      </c>
      <c r="C58" s="32">
        <v>-0.026755646371915336</v>
      </c>
      <c r="D58" s="32">
        <v>0.002202342673021625</v>
      </c>
      <c r="F58" s="17">
        <f t="shared" si="1"/>
        <v>-0.007232289482</v>
      </c>
    </row>
    <row r="59">
      <c r="A59" s="31">
        <v>44431.0</v>
      </c>
      <c r="B59" s="32">
        <v>0.0033469223947598845</v>
      </c>
      <c r="C59" s="32">
        <v>-0.03484110390278682</v>
      </c>
      <c r="D59" s="32">
        <v>-0.009994567895138525</v>
      </c>
      <c r="F59" s="17">
        <f t="shared" si="1"/>
        <v>-0.01344608161</v>
      </c>
    </row>
    <row r="60">
      <c r="A60" s="31">
        <v>44432.0</v>
      </c>
      <c r="B60" s="32">
        <v>-0.010294765780014396</v>
      </c>
      <c r="C60" s="32">
        <v>0.004189371932724642</v>
      </c>
      <c r="D60" s="32">
        <v>0.012934091631730803</v>
      </c>
      <c r="F60" s="17">
        <f t="shared" si="1"/>
        <v>0.003342018499</v>
      </c>
    </row>
    <row r="61">
      <c r="A61" s="31">
        <v>44433.0</v>
      </c>
      <c r="B61" s="32">
        <v>0.008542332687344022</v>
      </c>
      <c r="C61" s="32">
        <v>0.02795532865132325</v>
      </c>
      <c r="D61" s="32">
        <v>0.01351691024350634</v>
      </c>
      <c r="F61" s="17">
        <f t="shared" si="1"/>
        <v>0.0163560625</v>
      </c>
    </row>
    <row r="62">
      <c r="A62" s="31">
        <v>44434.0</v>
      </c>
      <c r="B62" s="32">
        <v>-0.004523118192139148</v>
      </c>
      <c r="C62" s="32">
        <v>-0.0056134289159134616</v>
      </c>
      <c r="D62" s="32">
        <v>0.01071720566103374</v>
      </c>
      <c r="F62" s="17">
        <f t="shared" si="1"/>
        <v>0.001245918132</v>
      </c>
    </row>
    <row r="63">
      <c r="A63" s="31">
        <v>44435.0</v>
      </c>
      <c r="B63" s="32">
        <v>-0.010939342788694743</v>
      </c>
      <c r="C63" s="32">
        <v>0.010298590078838423</v>
      </c>
      <c r="D63" s="32">
        <v>0.0014500995264708056</v>
      </c>
      <c r="F63" s="17">
        <f t="shared" si="1"/>
        <v>0.0003878139976</v>
      </c>
    </row>
    <row r="64">
      <c r="A64" s="31">
        <v>44438.0</v>
      </c>
      <c r="B64" s="32">
        <v>-0.006290964239081667</v>
      </c>
      <c r="C64" s="32">
        <v>0.018518515092658852</v>
      </c>
      <c r="D64" s="32">
        <v>-0.008606061812493026</v>
      </c>
      <c r="F64" s="17">
        <f t="shared" si="1"/>
        <v>0.0002258405311</v>
      </c>
    </row>
    <row r="65">
      <c r="A65" s="31">
        <v>44439.0</v>
      </c>
      <c r="B65" s="32">
        <v>0.00494679294343939</v>
      </c>
      <c r="C65" s="32">
        <v>0.020109417554097037</v>
      </c>
      <c r="D65" s="32">
        <v>-0.01156053348526434</v>
      </c>
      <c r="F65" s="17">
        <f t="shared" si="1"/>
        <v>0.002892649755</v>
      </c>
    </row>
    <row r="66">
      <c r="A66" s="31">
        <v>44440.0</v>
      </c>
      <c r="B66" s="32">
        <v>-0.01681851318474447</v>
      </c>
      <c r="C66" s="32">
        <v>-0.0020894330484259394</v>
      </c>
      <c r="D66" s="32">
        <v>0.01625458280433792</v>
      </c>
      <c r="F66" s="17">
        <f t="shared" si="1"/>
        <v>0.0008294492518</v>
      </c>
    </row>
    <row r="67">
      <c r="A67" s="31">
        <v>44441.0</v>
      </c>
      <c r="B67" s="32">
        <v>0.006764998360899997</v>
      </c>
      <c r="C67" s="32">
        <v>0.03047790623577612</v>
      </c>
      <c r="D67" s="32">
        <v>0.01534493183458804</v>
      </c>
      <c r="F67" s="17">
        <f t="shared" si="1"/>
        <v>0.01731084411</v>
      </c>
    </row>
    <row r="68">
      <c r="A68" s="31">
        <v>44442.0</v>
      </c>
      <c r="B68" s="32">
        <v>0.006837989559002907</v>
      </c>
      <c r="C68" s="32">
        <v>0.01411683976955126</v>
      </c>
      <c r="D68" s="32">
        <v>-0.007495562114722054</v>
      </c>
      <c r="F68" s="17">
        <f t="shared" si="1"/>
        <v>0.003288223953</v>
      </c>
    </row>
    <row r="69">
      <c r="A69" s="31">
        <v>44445.0</v>
      </c>
      <c r="B69" s="32">
        <v>0.01749331113407258</v>
      </c>
      <c r="C69" s="32">
        <v>0.04825954556812245</v>
      </c>
      <c r="D69" s="32">
        <v>-0.001985303929594832</v>
      </c>
      <c r="F69" s="17">
        <f t="shared" si="1"/>
        <v>0.01893173544</v>
      </c>
    </row>
    <row r="70">
      <c r="A70" s="31">
        <v>44446.0</v>
      </c>
      <c r="B70" s="32">
        <v>-0.013725150063913776</v>
      </c>
      <c r="C70" s="32">
        <v>0.09257414680231858</v>
      </c>
      <c r="D70" s="32">
        <v>0.008859216358211665</v>
      </c>
      <c r="F70" s="17">
        <f t="shared" si="1"/>
        <v>0.02719838556</v>
      </c>
    </row>
    <row r="71">
      <c r="A71" s="31">
        <v>44447.0</v>
      </c>
      <c r="B71" s="32">
        <v>-0.007851653128386227</v>
      </c>
      <c r="C71" s="32">
        <v>0.0028902978270536695</v>
      </c>
      <c r="D71" s="32">
        <v>-0.011159650777518062</v>
      </c>
      <c r="F71" s="17">
        <f t="shared" si="1"/>
        <v>-0.005952266901</v>
      </c>
    </row>
    <row r="72">
      <c r="A72" s="31">
        <v>44448.0</v>
      </c>
      <c r="B72" s="32">
        <v>-9.744715783257229E-4</v>
      </c>
      <c r="C72" s="32">
        <v>-4.247497082912748E-4</v>
      </c>
      <c r="D72" s="32">
        <v>0.013187086442393135</v>
      </c>
      <c r="F72" s="17">
        <f t="shared" si="1"/>
        <v>0.004855068191</v>
      </c>
    </row>
    <row r="73">
      <c r="A73" s="31">
        <v>44452.0</v>
      </c>
      <c r="B73" s="32">
        <v>1.7737526853692784E-4</v>
      </c>
      <c r="C73" s="32">
        <v>0.04271627314112296</v>
      </c>
      <c r="D73" s="32">
        <v>0.016342846563530238</v>
      </c>
      <c r="F73" s="17">
        <f t="shared" si="1"/>
        <v>0.01940523315</v>
      </c>
    </row>
    <row r="74">
      <c r="A74" s="31">
        <v>44453.0</v>
      </c>
      <c r="B74" s="32">
        <v>-0.0033985459651485884</v>
      </c>
      <c r="C74" s="32">
        <v>0.08810299917853166</v>
      </c>
      <c r="D74" s="32">
        <v>-0.004451681046868316</v>
      </c>
      <c r="F74" s="17">
        <f t="shared" si="1"/>
        <v>0.02363066355</v>
      </c>
    </row>
    <row r="75">
      <c r="A75" s="31">
        <v>44454.0</v>
      </c>
      <c r="B75" s="32">
        <v>0.01500455276214498</v>
      </c>
      <c r="C75" s="32">
        <v>-0.015032954794011053</v>
      </c>
      <c r="D75" s="32">
        <v>0.02534587968718671</v>
      </c>
      <c r="F75" s="17">
        <f t="shared" si="1"/>
        <v>0.01012983127</v>
      </c>
    </row>
    <row r="76">
      <c r="A76" s="31">
        <v>44455.0</v>
      </c>
      <c r="B76" s="32">
        <v>-0.005375530259955615</v>
      </c>
      <c r="C76" s="32">
        <v>0.02374905250188255</v>
      </c>
      <c r="D76" s="32">
        <v>0.007861735199759422</v>
      </c>
      <c r="F76" s="17">
        <f t="shared" si="1"/>
        <v>0.008656750752</v>
      </c>
    </row>
    <row r="77">
      <c r="A77" s="31">
        <v>44456.0</v>
      </c>
      <c r="B77" s="32">
        <v>-0.0064326338669408465</v>
      </c>
      <c r="C77" s="32">
        <v>0.02485607734075359</v>
      </c>
      <c r="D77" s="32">
        <v>0.06540084554306065</v>
      </c>
      <c r="F77" s="17">
        <f t="shared" si="1"/>
        <v>0.03168737126</v>
      </c>
    </row>
    <row r="78">
      <c r="A78" s="31">
        <v>44459.0</v>
      </c>
      <c r="B78" s="32">
        <v>-0.002039894105152938</v>
      </c>
      <c r="C78" s="32">
        <v>-0.040249490451087645</v>
      </c>
      <c r="D78" s="32">
        <v>0.06211474034718017</v>
      </c>
      <c r="F78" s="17">
        <f t="shared" si="1"/>
        <v>0.01215908077</v>
      </c>
    </row>
    <row r="79">
      <c r="A79" s="31">
        <v>44460.0</v>
      </c>
      <c r="B79" s="32">
        <v>0.0181295585716204</v>
      </c>
      <c r="C79" s="32">
        <v>-0.0224790900750498</v>
      </c>
      <c r="D79" s="32">
        <v>-0.03631016563258015</v>
      </c>
      <c r="F79" s="17">
        <f t="shared" si="1"/>
        <v>-0.0158289257</v>
      </c>
    </row>
    <row r="80">
      <c r="A80" s="31">
        <v>44461.0</v>
      </c>
      <c r="B80" s="32">
        <v>-9.019331631381478E-4</v>
      </c>
      <c r="C80" s="32">
        <v>0.012898204395375215</v>
      </c>
      <c r="D80" s="32">
        <v>-0.007081965430122506</v>
      </c>
      <c r="F80" s="17">
        <f t="shared" si="1"/>
        <v>0.0007660951976</v>
      </c>
    </row>
    <row r="81">
      <c r="A81" s="31">
        <v>44462.0</v>
      </c>
      <c r="B81" s="32">
        <v>0.014939731283968992</v>
      </c>
      <c r="C81" s="32">
        <v>0.006196698632681882</v>
      </c>
      <c r="D81" s="32">
        <v>0.026280638616435422</v>
      </c>
      <c r="F81" s="17">
        <f t="shared" si="1"/>
        <v>0.01685318442</v>
      </c>
    </row>
    <row r="82">
      <c r="A82" s="31">
        <v>44463.0</v>
      </c>
      <c r="B82" s="32">
        <v>0.012223423374395156</v>
      </c>
      <c r="C82" s="32">
        <v>-0.001299416632962215</v>
      </c>
      <c r="D82" s="32">
        <v>0.024472723819966097</v>
      </c>
      <c r="F82" s="17">
        <f t="shared" si="1"/>
        <v>0.01306629155</v>
      </c>
    </row>
    <row r="83">
      <c r="A83" s="31">
        <v>44466.0</v>
      </c>
      <c r="B83" s="32">
        <v>-0.024208380860618012</v>
      </c>
      <c r="C83" s="32">
        <v>0.0394795757233988</v>
      </c>
      <c r="D83" s="32">
        <v>-0.02489373322522303</v>
      </c>
      <c r="F83" s="17">
        <f t="shared" si="1"/>
        <v>-0.005376134831</v>
      </c>
    </row>
    <row r="84">
      <c r="A84" s="31">
        <v>44467.0</v>
      </c>
      <c r="B84" s="32">
        <v>-0.019783312044389257</v>
      </c>
      <c r="C84" s="32">
        <v>0.008005443636221198</v>
      </c>
      <c r="D84" s="32">
        <v>-0.00965757152658533</v>
      </c>
      <c r="F84" s="17">
        <f t="shared" si="1"/>
        <v>-0.007396389133</v>
      </c>
    </row>
    <row r="85">
      <c r="A85" s="31">
        <v>44468.0</v>
      </c>
      <c r="B85" s="32">
        <v>0.003052589694305129</v>
      </c>
      <c r="C85" s="32">
        <v>-0.024692112638995973</v>
      </c>
      <c r="D85" s="32">
        <v>-0.011984486012104478</v>
      </c>
      <c r="F85" s="17">
        <f t="shared" si="1"/>
        <v>-0.01128565129</v>
      </c>
    </row>
    <row r="86">
      <c r="A86" s="31">
        <v>44469.0</v>
      </c>
      <c r="B86" s="32">
        <v>-0.010075372433151097</v>
      </c>
      <c r="C86" s="32">
        <v>0.007519571876360911</v>
      </c>
      <c r="D86" s="32">
        <v>-6.61014693403662E-4</v>
      </c>
      <c r="F86" s="17">
        <f t="shared" si="1"/>
        <v>-0.001031146044</v>
      </c>
    </row>
    <row r="87">
      <c r="A87" s="31">
        <v>44470.0</v>
      </c>
      <c r="B87" s="32">
        <v>-0.00599924026621466</v>
      </c>
      <c r="C87" s="32">
        <v>-0.0012900368362769334</v>
      </c>
      <c r="D87" s="32">
        <v>0.033741208351647844</v>
      </c>
      <c r="F87" s="17">
        <f t="shared" si="1"/>
        <v>0.01130970021</v>
      </c>
    </row>
    <row r="88">
      <c r="A88" s="31">
        <v>44473.0</v>
      </c>
      <c r="B88" s="32">
        <v>0.008167417832616847</v>
      </c>
      <c r="C88" s="32">
        <v>0.05675355815828397</v>
      </c>
      <c r="D88" s="32">
        <v>0.018468613232582802</v>
      </c>
      <c r="F88" s="17">
        <f t="shared" si="1"/>
        <v>0.02686373809</v>
      </c>
    </row>
    <row r="89">
      <c r="A89" s="31">
        <v>44474.0</v>
      </c>
      <c r="B89" s="32">
        <v>0.008369351600893488</v>
      </c>
      <c r="C89" s="32">
        <v>0.039212677870279024</v>
      </c>
      <c r="D89" s="32">
        <v>-0.008396189075178832</v>
      </c>
      <c r="F89" s="17">
        <f t="shared" si="1"/>
        <v>0.01091613321</v>
      </c>
    </row>
    <row r="90">
      <c r="A90" s="31">
        <v>44475.0</v>
      </c>
      <c r="B90" s="32">
        <v>-0.011371691542289175</v>
      </c>
      <c r="C90" s="32">
        <v>0.0713497204449508</v>
      </c>
      <c r="D90" s="32">
        <v>0.05544383251003755</v>
      </c>
      <c r="F90" s="17">
        <f t="shared" si="1"/>
        <v>0.04017094167</v>
      </c>
    </row>
    <row r="91">
      <c r="A91" s="31">
        <v>44476.0</v>
      </c>
      <c r="B91" s="32">
        <v>0.010426907166849873</v>
      </c>
      <c r="C91" s="32">
        <v>0.050981897976511176</v>
      </c>
      <c r="D91" s="32">
        <v>0.029899625916753474</v>
      </c>
      <c r="F91" s="17">
        <f t="shared" si="1"/>
        <v>0.03038249191</v>
      </c>
    </row>
    <row r="92">
      <c r="A92" s="31">
        <v>44477.0</v>
      </c>
      <c r="B92" s="32">
        <v>0.01942636073329389</v>
      </c>
      <c r="C92" s="32">
        <v>0.03957663271124562</v>
      </c>
      <c r="D92" s="32">
        <v>-0.018359359666049645</v>
      </c>
      <c r="F92" s="17">
        <f t="shared" si="1"/>
        <v>0.01035715417</v>
      </c>
    </row>
    <row r="93">
      <c r="A93" s="31">
        <v>44480.0</v>
      </c>
      <c r="B93" s="32">
        <v>-0.019085201994399028</v>
      </c>
      <c r="C93" s="32">
        <v>-0.021326540323233705</v>
      </c>
      <c r="D93" s="32">
        <v>1.7645425254597024E-4</v>
      </c>
      <c r="F93" s="17">
        <f t="shared" si="1"/>
        <v>-0.01205294099</v>
      </c>
    </row>
    <row r="94">
      <c r="A94" s="31">
        <v>44481.0</v>
      </c>
      <c r="B94" s="32">
        <v>-0.0034299814708117432</v>
      </c>
      <c r="C94" s="32">
        <v>0.00936606416521504</v>
      </c>
      <c r="D94" s="32">
        <v>-0.025534255547936622</v>
      </c>
      <c r="F94" s="17">
        <f t="shared" si="1"/>
        <v>-0.008432877411</v>
      </c>
    </row>
    <row r="95">
      <c r="A95" s="31">
        <v>44482.0</v>
      </c>
      <c r="B95" s="32">
        <v>0.014271683029688533</v>
      </c>
      <c r="C95" s="32">
        <v>0.023156362781798327</v>
      </c>
      <c r="D95" s="32">
        <v>0.007647822437823446</v>
      </c>
      <c r="F95" s="17">
        <f t="shared" si="1"/>
        <v>0.01428754272</v>
      </c>
    </row>
    <row r="96">
      <c r="A96" s="31">
        <v>44483.0</v>
      </c>
      <c r="B96" s="32">
        <v>0.003832230978106285</v>
      </c>
      <c r="C96" s="32">
        <v>0.10849491754083233</v>
      </c>
      <c r="D96" s="32">
        <v>0.022850949291777493</v>
      </c>
      <c r="F96" s="17">
        <f t="shared" si="1"/>
        <v>0.04283852427</v>
      </c>
    </row>
    <row r="97">
      <c r="A97" s="31">
        <v>44487.0</v>
      </c>
      <c r="B97" s="32">
        <v>0.044528645781728125</v>
      </c>
      <c r="C97" s="32">
        <v>0.07580243702015631</v>
      </c>
      <c r="D97" s="32">
        <v>0.009321098120973037</v>
      </c>
      <c r="F97" s="17">
        <f t="shared" si="1"/>
        <v>0.03982776409</v>
      </c>
    </row>
    <row r="98">
      <c r="A98" s="31">
        <v>44488.0</v>
      </c>
      <c r="B98" s="32">
        <v>0.016739670004323255</v>
      </c>
      <c r="C98" s="32">
        <v>-0.07194146111087926</v>
      </c>
      <c r="D98" s="32">
        <v>-0.004581882451524436</v>
      </c>
      <c r="F98" s="17">
        <f t="shared" si="1"/>
        <v>-0.01839329031</v>
      </c>
    </row>
    <row r="99">
      <c r="A99" s="31">
        <v>44489.0</v>
      </c>
      <c r="B99" s="32">
        <v>-0.010866310533824662</v>
      </c>
      <c r="C99" s="32">
        <v>-0.1870812042726701</v>
      </c>
      <c r="D99" s="32">
        <v>-0.01756938288983766</v>
      </c>
      <c r="F99" s="17">
        <f t="shared" si="1"/>
        <v>-0.0664120076</v>
      </c>
    </row>
    <row r="100">
      <c r="A100" s="31">
        <v>44490.0</v>
      </c>
      <c r="B100" s="32">
        <v>-0.027020252807992903</v>
      </c>
      <c r="C100" s="32">
        <v>0.0313236767019049</v>
      </c>
      <c r="D100" s="32">
        <v>-0.043333305672307317</v>
      </c>
      <c r="F100" s="17">
        <f t="shared" si="1"/>
        <v>-0.0160422951</v>
      </c>
    </row>
    <row r="101">
      <c r="A101" s="31">
        <v>44491.0</v>
      </c>
      <c r="B101" s="32">
        <v>-0.019302582919475435</v>
      </c>
      <c r="C101" s="32">
        <v>0.010780064222684517</v>
      </c>
      <c r="D101" s="32">
        <v>0.020503748031776226</v>
      </c>
      <c r="F101" s="17">
        <f t="shared" si="1"/>
        <v>0.005644743604</v>
      </c>
    </row>
    <row r="102">
      <c r="A102" s="31">
        <v>44494.0</v>
      </c>
      <c r="B102" s="32">
        <v>-0.007122921066971083</v>
      </c>
      <c r="C102" s="32">
        <v>-0.12984179479030192</v>
      </c>
      <c r="D102" s="32">
        <v>-0.03698417141254791</v>
      </c>
      <c r="F102" s="17">
        <f t="shared" si="1"/>
        <v>-0.05588308332</v>
      </c>
    </row>
    <row r="103">
      <c r="A103" s="31">
        <v>44495.0</v>
      </c>
      <c r="B103" s="32">
        <v>-0.0022547497230049796</v>
      </c>
      <c r="C103" s="32">
        <v>0.041555377086909366</v>
      </c>
      <c r="D103" s="32">
        <v>0.011533429345001253</v>
      </c>
      <c r="F103" s="17">
        <f t="shared" si="1"/>
        <v>0.01640355995</v>
      </c>
    </row>
    <row r="104">
      <c r="A104" s="31">
        <v>44496.0</v>
      </c>
      <c r="B104" s="32">
        <v>0.014820684819048868</v>
      </c>
      <c r="C104" s="32">
        <v>-0.01416636192863985</v>
      </c>
      <c r="D104" s="32">
        <v>-0.001540160767106104</v>
      </c>
      <c r="F104" s="17">
        <f t="shared" si="1"/>
        <v>-0.0004197674397</v>
      </c>
    </row>
    <row r="105">
      <c r="A105" s="31">
        <v>44497.0</v>
      </c>
      <c r="B105" s="32">
        <v>-0.014488520610739197</v>
      </c>
      <c r="C105" s="32">
        <v>0.10589199899414309</v>
      </c>
      <c r="D105" s="32">
        <v>0.005172886070228769</v>
      </c>
      <c r="F105" s="17">
        <f t="shared" si="1"/>
        <v>0.02949019794</v>
      </c>
    </row>
    <row r="106">
      <c r="A106" s="31">
        <v>44498.0</v>
      </c>
      <c r="B106" s="32">
        <v>-0.021216047591299306</v>
      </c>
      <c r="C106" s="32">
        <v>-0.07422001970443348</v>
      </c>
      <c r="D106" s="32">
        <v>-0.004273030097498999</v>
      </c>
      <c r="F106" s="17">
        <f t="shared" si="1"/>
        <v>-0.03034003223</v>
      </c>
    </row>
    <row r="107">
      <c r="A107" s="31">
        <v>44501.0</v>
      </c>
      <c r="B107" s="32">
        <v>0.019367440563633605</v>
      </c>
      <c r="C107" s="32">
        <v>0.011528910797745146</v>
      </c>
      <c r="D107" s="32">
        <v>0.01735272267830009</v>
      </c>
      <c r="F107" s="17">
        <f t="shared" si="1"/>
        <v>0.01620999448</v>
      </c>
    </row>
    <row r="108">
      <c r="A108" s="31">
        <v>44502.0</v>
      </c>
      <c r="B108" s="32">
        <v>-0.0012646833552133348</v>
      </c>
      <c r="C108" s="32">
        <v>-0.008475071480857025</v>
      </c>
      <c r="D108" s="32">
        <v>0.017650849244766523</v>
      </c>
      <c r="F108" s="17">
        <f t="shared" si="1"/>
        <v>0.004138413247</v>
      </c>
    </row>
    <row r="109">
      <c r="A109" s="31">
        <v>44503.0</v>
      </c>
      <c r="B109" s="32">
        <v>0.002709214874243956</v>
      </c>
      <c r="C109" s="32">
        <v>-0.03342376279051508</v>
      </c>
      <c r="D109" s="32">
        <v>0.018167196759745225</v>
      </c>
      <c r="F109" s="17">
        <f t="shared" si="1"/>
        <v>-0.001947485671</v>
      </c>
    </row>
    <row r="110">
      <c r="A110" s="31">
        <v>44504.0</v>
      </c>
      <c r="B110" s="32">
        <v>0.0036416745961821177</v>
      </c>
      <c r="C110" s="32">
        <v>0.002927394121189839</v>
      </c>
      <c r="D110" s="32">
        <v>0.004846448284365046</v>
      </c>
      <c r="F110" s="17">
        <f t="shared" si="1"/>
        <v>0.003909299929</v>
      </c>
    </row>
    <row r="111">
      <c r="A111" s="31">
        <v>44508.0</v>
      </c>
      <c r="B111" s="32">
        <v>0.01685494810434389</v>
      </c>
      <c r="C111" s="32">
        <v>0.012891427181514101</v>
      </c>
      <c r="D111" s="32">
        <v>-0.005715389212374736</v>
      </c>
      <c r="F111" s="17">
        <f t="shared" si="1"/>
        <v>0.006637756901</v>
      </c>
    </row>
    <row r="112">
      <c r="A112" s="31">
        <v>44509.0</v>
      </c>
      <c r="B112" s="32">
        <v>0.0028776978417266188</v>
      </c>
      <c r="C112" s="32">
        <v>0.027796151368322825</v>
      </c>
      <c r="D112" s="32">
        <v>0.013816720326339155</v>
      </c>
      <c r="F112" s="17">
        <f t="shared" si="1"/>
        <v>0.01472884289</v>
      </c>
    </row>
    <row r="113">
      <c r="A113" s="31">
        <v>44510.0</v>
      </c>
      <c r="B113" s="32">
        <v>-0.0013486232424677015</v>
      </c>
      <c r="C113" s="32">
        <v>-0.00718460747663555</v>
      </c>
      <c r="D113" s="32">
        <v>0.02235245645933016</v>
      </c>
      <c r="F113" s="17">
        <f t="shared" si="1"/>
        <v>0.006381013368</v>
      </c>
    </row>
    <row r="114">
      <c r="A114" s="31">
        <v>44511.0</v>
      </c>
      <c r="B114" s="32">
        <v>-0.003936427839856229</v>
      </c>
      <c r="C114" s="32">
        <v>-0.0030005154698033256</v>
      </c>
      <c r="D114" s="32">
        <v>0.028337855709633847</v>
      </c>
      <c r="F114" s="17">
        <f t="shared" si="1"/>
        <v>0.009254059291</v>
      </c>
    </row>
    <row r="115">
      <c r="A115" s="31">
        <v>44512.0</v>
      </c>
      <c r="B115" s="32">
        <v>0.02705815535345901</v>
      </c>
      <c r="C115" s="32">
        <v>0.02071283872129594</v>
      </c>
      <c r="D115" s="32">
        <v>-0.005923997414238774</v>
      </c>
      <c r="F115" s="17">
        <f t="shared" si="1"/>
        <v>0.01196169926</v>
      </c>
    </row>
    <row r="116">
      <c r="A116" s="31">
        <v>44515.0</v>
      </c>
      <c r="B116" s="32">
        <v>0.0039040968381646554</v>
      </c>
      <c r="C116" s="32">
        <v>0.04457426035703568</v>
      </c>
      <c r="D116" s="32">
        <v>0.010156011598183915</v>
      </c>
      <c r="F116" s="17">
        <f t="shared" si="1"/>
        <v>0.0186059118</v>
      </c>
    </row>
    <row r="117">
      <c r="A117" s="31">
        <v>44516.0</v>
      </c>
      <c r="B117" s="32">
        <v>0.00288169707682018</v>
      </c>
      <c r="C117" s="32">
        <v>0.019537263151544873</v>
      </c>
      <c r="D117" s="32">
        <v>-0.0030138696822480248</v>
      </c>
      <c r="F117" s="17">
        <f t="shared" si="1"/>
        <v>0.005520140196</v>
      </c>
    </row>
    <row r="118">
      <c r="A118" s="31">
        <v>44517.0</v>
      </c>
      <c r="B118" s="32">
        <v>-0.002706074801875927</v>
      </c>
      <c r="C118" s="32">
        <v>-0.018945781691927035</v>
      </c>
      <c r="D118" s="32">
        <v>-6.44002808895986E-4</v>
      </c>
      <c r="F118" s="17">
        <f t="shared" si="1"/>
        <v>-0.006753158072</v>
      </c>
    </row>
    <row r="119">
      <c r="A119" s="31">
        <v>44518.0</v>
      </c>
      <c r="B119" s="32">
        <v>-0.004503581762105531</v>
      </c>
      <c r="C119" s="32">
        <v>-0.01433150989813654</v>
      </c>
      <c r="D119" s="32">
        <v>-0.030985139719406255</v>
      </c>
      <c r="F119" s="17">
        <f t="shared" si="1"/>
        <v>-0.01804458339</v>
      </c>
    </row>
    <row r="120">
      <c r="A120" s="31">
        <v>44522.0</v>
      </c>
      <c r="B120" s="32">
        <v>-0.011239743582244664</v>
      </c>
      <c r="C120" s="32">
        <v>-0.004378851282667265</v>
      </c>
      <c r="D120" s="32">
        <v>-0.05648009936235972</v>
      </c>
      <c r="F120" s="17">
        <f t="shared" si="1"/>
        <v>-0.0272776182</v>
      </c>
    </row>
    <row r="121">
      <c r="A121" s="31">
        <v>44523.0</v>
      </c>
      <c r="B121" s="32">
        <v>-0.012788450433714443</v>
      </c>
      <c r="C121" s="32">
        <v>0.0068226535100084406</v>
      </c>
      <c r="D121" s="32">
        <v>0.0014346065010031786</v>
      </c>
      <c r="F121" s="17">
        <f t="shared" si="1"/>
        <v>-0.001215896477</v>
      </c>
    </row>
    <row r="122">
      <c r="A122" s="31">
        <v>44524.0</v>
      </c>
      <c r="B122" s="32">
        <v>-0.023547713417499515</v>
      </c>
      <c r="C122" s="32">
        <v>-0.03360215098927622</v>
      </c>
      <c r="D122" s="32">
        <v>-0.0043388939469426804</v>
      </c>
      <c r="F122" s="17">
        <f t="shared" si="1"/>
        <v>-0.0188805169</v>
      </c>
    </row>
    <row r="123">
      <c r="A123" s="31">
        <v>44525.0</v>
      </c>
      <c r="B123" s="32">
        <v>0.01556605188679247</v>
      </c>
      <c r="C123" s="32">
        <v>0.0031872972163277313</v>
      </c>
      <c r="D123" s="32">
        <v>-0.01017088477691382</v>
      </c>
      <c r="F123" s="17">
        <f t="shared" si="1"/>
        <v>0.00155765082</v>
      </c>
    </row>
    <row r="124">
      <c r="A124" s="31">
        <v>44526.0</v>
      </c>
      <c r="B124" s="32">
        <v>-0.017852995571021893</v>
      </c>
      <c r="C124" s="32">
        <v>-0.04910172790621077</v>
      </c>
      <c r="D124" s="32">
        <v>-0.018971266008101943</v>
      </c>
      <c r="F124" s="17">
        <f t="shared" si="1"/>
        <v>-0.02767492345</v>
      </c>
    </row>
    <row r="125">
      <c r="A125" s="31">
        <v>44529.0</v>
      </c>
      <c r="B125" s="32">
        <v>0.0027783240820028737</v>
      </c>
      <c r="C125" s="32">
        <v>-0.05740842073859553</v>
      </c>
      <c r="D125" s="32">
        <v>-0.027208744423674297</v>
      </c>
      <c r="F125" s="17">
        <f t="shared" si="1"/>
        <v>-0.02727252677</v>
      </c>
    </row>
    <row r="126">
      <c r="A126" s="31">
        <v>44530.0</v>
      </c>
      <c r="B126" s="32">
        <v>0.009608894526845008</v>
      </c>
      <c r="C126" s="32">
        <v>0.02494204214914224</v>
      </c>
      <c r="D126" s="32">
        <v>0.018012589862355096</v>
      </c>
      <c r="F126" s="17">
        <f t="shared" si="1"/>
        <v>0.01757031695</v>
      </c>
    </row>
    <row r="127">
      <c r="A127" s="31">
        <v>44531.0</v>
      </c>
      <c r="B127" s="32">
        <v>0.0013137535214258111</v>
      </c>
      <c r="C127" s="32">
        <v>0.021128073310603315</v>
      </c>
      <c r="D127" s="32">
        <v>0.01760748138083997</v>
      </c>
      <c r="F127" s="17">
        <f t="shared" si="1"/>
        <v>0.0137755406</v>
      </c>
    </row>
    <row r="128">
      <c r="A128" s="31">
        <v>44532.0</v>
      </c>
      <c r="B128" s="32">
        <v>0.019447183820203835</v>
      </c>
      <c r="C128" s="32">
        <v>0.011453892311784317</v>
      </c>
      <c r="D128" s="32">
        <v>0.016367913691500136</v>
      </c>
      <c r="F128" s="17">
        <f t="shared" si="1"/>
        <v>0.01581748832</v>
      </c>
    </row>
    <row r="129">
      <c r="A129" s="31">
        <v>44533.0</v>
      </c>
      <c r="B129" s="32">
        <v>-0.007264379236379268</v>
      </c>
      <c r="C129" s="32">
        <v>-0.0016438063926940269</v>
      </c>
      <c r="D129" s="32">
        <v>-0.013796563401479995</v>
      </c>
      <c r="F129" s="17">
        <f t="shared" si="1"/>
        <v>-0.008191081049</v>
      </c>
    </row>
    <row r="130">
      <c r="A130" s="31">
        <v>44536.0</v>
      </c>
      <c r="B130" s="32">
        <v>-0.02319149483657443</v>
      </c>
      <c r="C130" s="32">
        <v>-0.022563726623332798</v>
      </c>
      <c r="D130" s="32">
        <v>-0.03313407130442157</v>
      </c>
      <c r="F130" s="17">
        <f t="shared" si="1"/>
        <v>-0.02698019496</v>
      </c>
    </row>
    <row r="131">
      <c r="A131" s="31">
        <v>44537.0</v>
      </c>
      <c r="B131" s="32">
        <v>0.009644295716055917</v>
      </c>
      <c r="C131" s="32">
        <v>0.027015177628694396</v>
      </c>
      <c r="D131" s="32">
        <v>0.034427387712078754</v>
      </c>
      <c r="F131" s="17">
        <f t="shared" si="1"/>
        <v>0.02476879709</v>
      </c>
    </row>
    <row r="132">
      <c r="A132" s="31">
        <v>44538.0</v>
      </c>
      <c r="B132" s="32">
        <v>0.024362428893349483</v>
      </c>
      <c r="C132" s="32">
        <v>0.034445096182906504</v>
      </c>
      <c r="D132" s="32">
        <v>-0.001398743697104496</v>
      </c>
      <c r="F132" s="17">
        <f t="shared" si="1"/>
        <v>0.01708276004</v>
      </c>
    </row>
    <row r="133">
      <c r="A133" s="31">
        <v>44539.0</v>
      </c>
      <c r="B133" s="32">
        <v>0.005760387337524956</v>
      </c>
      <c r="C133" s="32">
        <v>0.006401164959328142</v>
      </c>
      <c r="D133" s="32">
        <v>0.009083346218130686</v>
      </c>
      <c r="F133" s="17">
        <f t="shared" si="1"/>
        <v>0.007281804176</v>
      </c>
    </row>
    <row r="134">
      <c r="A134" s="31">
        <v>44540.0</v>
      </c>
      <c r="B134" s="32">
        <v>-0.0023816672526591346</v>
      </c>
      <c r="C134" s="32">
        <v>0.001283814005732137</v>
      </c>
      <c r="D134" s="32">
        <v>0.008471598551370687</v>
      </c>
      <c r="F134" s="17">
        <f t="shared" si="1"/>
        <v>0.003059283446</v>
      </c>
    </row>
    <row r="135">
      <c r="A135" s="31">
        <v>44543.0</v>
      </c>
      <c r="B135" s="32">
        <v>-0.008298977405144221</v>
      </c>
      <c r="C135" s="32">
        <v>8.74176804603856E-4</v>
      </c>
      <c r="D135" s="32">
        <v>-0.020037555453597478</v>
      </c>
      <c r="F135" s="17">
        <f t="shared" si="1"/>
        <v>-0.01024246236</v>
      </c>
    </row>
    <row r="136">
      <c r="A136" s="31">
        <v>44544.0</v>
      </c>
      <c r="B136" s="32">
        <v>0.004298856445033357</v>
      </c>
      <c r="C136" s="32">
        <v>-0.004250639279133992</v>
      </c>
      <c r="D136" s="32">
        <v>0.025248405246200225</v>
      </c>
      <c r="F136" s="17">
        <f t="shared" si="1"/>
        <v>0.01011382725</v>
      </c>
    </row>
    <row r="137">
      <c r="A137" s="31">
        <v>44545.0</v>
      </c>
      <c r="B137" s="32">
        <v>-0.010244598210272874</v>
      </c>
      <c r="C137" s="32">
        <v>-0.004502632657776225</v>
      </c>
      <c r="D137" s="32">
        <v>-0.025656140452353905</v>
      </c>
      <c r="F137" s="17">
        <f t="shared" si="1"/>
        <v>-0.01468662544</v>
      </c>
    </row>
    <row r="138">
      <c r="A138" s="31">
        <v>44546.0</v>
      </c>
      <c r="B138" s="32">
        <v>0.021566155032142494</v>
      </c>
      <c r="C138" s="32">
        <v>0.001116085510581519</v>
      </c>
      <c r="D138" s="32">
        <v>0.00706434748015782</v>
      </c>
      <c r="F138" s="17">
        <f t="shared" si="1"/>
        <v>0.009630411155</v>
      </c>
    </row>
    <row r="139">
      <c r="A139" s="31">
        <v>44547.0</v>
      </c>
      <c r="B139" s="32">
        <v>0.027799729435083263</v>
      </c>
      <c r="C139" s="32">
        <v>-0.02317667012117575</v>
      </c>
      <c r="D139" s="32">
        <v>-0.029827887241810312</v>
      </c>
      <c r="F139" s="17">
        <f t="shared" si="1"/>
        <v>-0.0105442371</v>
      </c>
    </row>
    <row r="140">
      <c r="A140" s="31">
        <v>44550.0</v>
      </c>
      <c r="B140" s="32">
        <v>-0.012054783364535651</v>
      </c>
      <c r="C140" s="32">
        <v>-0.04601158925483171</v>
      </c>
      <c r="D140" s="32">
        <v>-0.05213123112502265</v>
      </c>
      <c r="F140" s="17">
        <f t="shared" si="1"/>
        <v>-0.03827240424</v>
      </c>
    </row>
    <row r="141">
      <c r="A141" s="31">
        <v>44551.0</v>
      </c>
      <c r="B141" s="32">
        <v>0.007059843143345213</v>
      </c>
      <c r="C141" s="32">
        <v>0.02600431258544709</v>
      </c>
      <c r="D141" s="32">
        <v>1.2885918236370304E-4</v>
      </c>
      <c r="F141" s="17">
        <f t="shared" si="1"/>
        <v>0.009970790392</v>
      </c>
    </row>
    <row r="142">
      <c r="A142" s="31">
        <v>44552.0</v>
      </c>
      <c r="B142" s="32">
        <v>0.007231163156076398</v>
      </c>
      <c r="C142" s="32">
        <v>0.03068425897514575</v>
      </c>
      <c r="D142" s="32">
        <v>0.007755985279234541</v>
      </c>
      <c r="F142" s="17">
        <f t="shared" si="1"/>
        <v>0.01447702075</v>
      </c>
    </row>
    <row r="143">
      <c r="A143" s="31">
        <v>44553.0</v>
      </c>
      <c r="B143" s="32">
        <v>0.018030375340323507</v>
      </c>
      <c r="C143" s="32">
        <v>0.0019053003870199102</v>
      </c>
      <c r="D143" s="32">
        <v>0.002620232853438271</v>
      </c>
      <c r="F143" s="17">
        <f t="shared" si="1"/>
        <v>0.00702879586</v>
      </c>
    </row>
    <row r="144">
      <c r="A144" s="31">
        <v>44554.0</v>
      </c>
      <c r="B144" s="32">
        <v>0.0031761542184688477</v>
      </c>
      <c r="C144" s="32">
        <v>-0.004932506232103291</v>
      </c>
      <c r="D144" s="32">
        <v>0.001821161901293025</v>
      </c>
      <c r="F144" s="17">
        <f t="shared" si="1"/>
        <v>0.0002015591564</v>
      </c>
    </row>
    <row r="145">
      <c r="A145" s="31">
        <v>44557.0</v>
      </c>
      <c r="B145" s="32">
        <v>0.0014220681513281623</v>
      </c>
      <c r="C145" s="32">
        <v>0.002150009524844566</v>
      </c>
      <c r="D145" s="32">
        <v>-0.010343556080712617</v>
      </c>
      <c r="F145" s="17">
        <f t="shared" si="1"/>
        <v>-0.003065799129</v>
      </c>
    </row>
    <row r="146">
      <c r="A146" s="31">
        <v>44558.0</v>
      </c>
      <c r="B146" s="32">
        <v>0.011708584904211308</v>
      </c>
      <c r="C146" s="32">
        <v>0.029201430274135878</v>
      </c>
      <c r="D146" s="32">
        <v>0.015613232392847896</v>
      </c>
      <c r="F146" s="17">
        <f t="shared" si="1"/>
        <v>0.01851829751</v>
      </c>
    </row>
    <row r="147">
      <c r="A147" s="31">
        <v>44559.0</v>
      </c>
      <c r="B147" s="32">
        <v>-0.0012976435381356227</v>
      </c>
      <c r="C147" s="32">
        <v>-0.01638682570932256</v>
      </c>
      <c r="D147" s="32">
        <v>0.03219330394549858</v>
      </c>
      <c r="F147" s="17">
        <f t="shared" si="1"/>
        <v>0.007571980804</v>
      </c>
    </row>
    <row r="148">
      <c r="A148" s="31">
        <v>44560.0</v>
      </c>
      <c r="B148" s="32">
        <v>0.0038715105991864473</v>
      </c>
      <c r="C148" s="32">
        <v>-0.019249987004179264</v>
      </c>
      <c r="D148" s="32">
        <v>0.018757302686440498</v>
      </c>
      <c r="F148" s="17">
        <f t="shared" si="1"/>
        <v>0.002889378153</v>
      </c>
    </row>
    <row r="149">
      <c r="A149" s="31">
        <v>44561.0</v>
      </c>
      <c r="B149" s="32">
        <v>-0.0026943371448683528</v>
      </c>
      <c r="C149" s="32">
        <v>-0.0015006002400960385</v>
      </c>
      <c r="D149" s="32">
        <v>0.009261903959764794</v>
      </c>
      <c r="F149" s="17">
        <f t="shared" si="1"/>
        <v>0.002446280368</v>
      </c>
    </row>
    <row r="150">
      <c r="A150" s="31">
        <v>44564.0</v>
      </c>
      <c r="B150" s="32">
        <v>0.005668097470533734</v>
      </c>
      <c r="C150" s="32">
        <v>0.01671178118425011</v>
      </c>
      <c r="D150" s="32">
        <v>0.004371148943421968</v>
      </c>
      <c r="F150" s="17">
        <f t="shared" si="1"/>
        <v>0.008462423174</v>
      </c>
    </row>
    <row r="151">
      <c r="A151" s="31">
        <v>44565.0</v>
      </c>
      <c r="B151" s="32">
        <v>3.6876031397678645E-4</v>
      </c>
      <c r="C151" s="32">
        <v>0.002838010916913253</v>
      </c>
      <c r="D151" s="32">
        <v>0.01426961210767892</v>
      </c>
      <c r="F151" s="17">
        <f t="shared" si="1"/>
        <v>0.006669876212</v>
      </c>
    </row>
    <row r="152">
      <c r="A152" s="31">
        <v>44566.0</v>
      </c>
      <c r="B152" s="32">
        <v>-0.028697048317021214</v>
      </c>
      <c r="C152" s="32">
        <v>-0.008784873657707092</v>
      </c>
      <c r="D152" s="32">
        <v>-0.0023336865877630125</v>
      </c>
      <c r="F152" s="17">
        <f t="shared" si="1"/>
        <v>-0.01217805123</v>
      </c>
    </row>
    <row r="153">
      <c r="A153" s="31">
        <v>44567.0</v>
      </c>
      <c r="B153" s="32">
        <v>-0.014555593012585506</v>
      </c>
      <c r="C153" s="32">
        <v>0.0031525387528681423</v>
      </c>
      <c r="D153" s="32">
        <v>-0.01513296940724522</v>
      </c>
      <c r="F153" s="17">
        <f t="shared" si="1"/>
        <v>-0.009474104041</v>
      </c>
    </row>
    <row r="154">
      <c r="A154" s="31">
        <v>44568.0</v>
      </c>
      <c r="B154" s="32">
        <v>-0.0019254042830097867</v>
      </c>
      <c r="C154" s="32">
        <v>0.020990230655203102</v>
      </c>
      <c r="D154" s="32">
        <v>-0.012598854603566268</v>
      </c>
      <c r="F154" s="17">
        <f t="shared" si="1"/>
        <v>0.0006799060702</v>
      </c>
    </row>
    <row r="155">
      <c r="A155" s="31">
        <v>44571.0</v>
      </c>
      <c r="B155" s="32">
        <v>0.02009036543877647</v>
      </c>
      <c r="C155" s="32">
        <v>0.014518845259043912</v>
      </c>
      <c r="D155" s="32">
        <v>0.033347483253486895</v>
      </c>
      <c r="F155" s="17">
        <f t="shared" si="1"/>
        <v>0.02372175651</v>
      </c>
    </row>
    <row r="156">
      <c r="A156" s="31">
        <v>44572.0</v>
      </c>
      <c r="B156" s="32">
        <v>0.0026205462650276752</v>
      </c>
      <c r="C156" s="32">
        <v>-0.012650967826651063</v>
      </c>
      <c r="D156" s="32">
        <v>-0.009043992230274215</v>
      </c>
      <c r="F156" s="17">
        <f t="shared" si="1"/>
        <v>-0.006626723361</v>
      </c>
    </row>
    <row r="157">
      <c r="A157" s="31">
        <v>44573.0</v>
      </c>
      <c r="B157" s="32">
        <v>0.011775153741433378</v>
      </c>
      <c r="C157" s="32">
        <v>-0.001333515732833549</v>
      </c>
      <c r="D157" s="32">
        <v>0.029526431993264556</v>
      </c>
      <c r="F157" s="17">
        <f t="shared" si="1"/>
        <v>0.0149430642</v>
      </c>
    </row>
    <row r="158">
      <c r="A158" s="31">
        <v>44574.0</v>
      </c>
      <c r="B158" s="32">
        <v>0.010306585264599625</v>
      </c>
      <c r="C158" s="32">
        <v>0.008011638896952139</v>
      </c>
      <c r="D158" s="32">
        <v>0.04704697296239786</v>
      </c>
      <c r="F158" s="17">
        <f t="shared" si="1"/>
        <v>0.02431425643</v>
      </c>
    </row>
    <row r="159">
      <c r="A159" s="31">
        <v>44575.0</v>
      </c>
      <c r="B159" s="32">
        <v>0.01716044188060859</v>
      </c>
      <c r="C159" s="32">
        <v>0.03979725513432686</v>
      </c>
      <c r="D159" s="32">
        <v>-0.014019604014527278</v>
      </c>
      <c r="F159" s="17">
        <f t="shared" si="1"/>
        <v>0.0114794675</v>
      </c>
    </row>
    <row r="160">
      <c r="A160" s="31">
        <v>44578.0</v>
      </c>
      <c r="B160" s="32">
        <v>0.005260851647581035</v>
      </c>
      <c r="C160" s="32">
        <v>-0.00592670425266378</v>
      </c>
      <c r="D160" s="32">
        <v>0.013640699936628626</v>
      </c>
      <c r="F160" s="17">
        <f t="shared" si="1"/>
        <v>0.005256524193</v>
      </c>
    </row>
    <row r="161">
      <c r="A161" s="31">
        <v>44579.0</v>
      </c>
      <c r="B161" s="32">
        <v>-0.009667440061871617</v>
      </c>
      <c r="C161" s="32">
        <v>-0.04039672476683724</v>
      </c>
      <c r="D161" s="32">
        <v>-0.003407307273422442</v>
      </c>
      <c r="F161" s="17">
        <f t="shared" si="1"/>
        <v>-0.01638217236</v>
      </c>
    </row>
    <row r="162">
      <c r="A162" s="31">
        <v>44580.0</v>
      </c>
      <c r="B162" s="32">
        <v>-0.027957803462189276</v>
      </c>
      <c r="C162" s="32">
        <v>0.017245426099048045</v>
      </c>
      <c r="D162" s="32">
        <v>0.09424748104359255</v>
      </c>
      <c r="F162" s="17">
        <f t="shared" si="1"/>
        <v>0.03448527921</v>
      </c>
    </row>
    <row r="163">
      <c r="A163" s="31">
        <v>44581.0</v>
      </c>
      <c r="B163" s="32">
        <v>-0.023218498091799086</v>
      </c>
      <c r="C163" s="32">
        <v>0.0050802122712911325</v>
      </c>
      <c r="D163" s="32">
        <v>0.0649539854527214</v>
      </c>
      <c r="F163" s="17">
        <f t="shared" si="1"/>
        <v>0.02054010843</v>
      </c>
    </row>
    <row r="164">
      <c r="A164" s="31">
        <v>44582.0</v>
      </c>
      <c r="B164" s="32">
        <v>-0.020836760991940168</v>
      </c>
      <c r="C164" s="32">
        <v>-0.021240358348740815</v>
      </c>
      <c r="D164" s="32">
        <v>-0.03092006459509012</v>
      </c>
      <c r="F164" s="17">
        <f t="shared" si="1"/>
        <v>-0.02499116164</v>
      </c>
    </row>
    <row r="165">
      <c r="A165" s="31">
        <v>44585.0</v>
      </c>
      <c r="B165" s="32">
        <v>-0.027384164944741104</v>
      </c>
      <c r="C165" s="32">
        <v>-0.060229805358294496</v>
      </c>
      <c r="D165" s="32">
        <v>-0.022220061336687826</v>
      </c>
      <c r="F165" s="17">
        <f t="shared" si="1"/>
        <v>-0.03517221563</v>
      </c>
    </row>
    <row r="166">
      <c r="A166" s="31">
        <v>44586.0</v>
      </c>
      <c r="B166" s="32">
        <v>-0.008435067127292507</v>
      </c>
      <c r="C166" s="32">
        <v>0.0248209882660557</v>
      </c>
      <c r="D166" s="32">
        <v>0.019671338952673582</v>
      </c>
      <c r="F166" s="17">
        <f t="shared" si="1"/>
        <v>0.01278431192</v>
      </c>
    </row>
    <row r="167">
      <c r="A167" s="31">
        <v>44588.0</v>
      </c>
      <c r="B167" s="32">
        <v>-0.025288184765022575</v>
      </c>
      <c r="C167" s="32">
        <v>-0.019399970519822573</v>
      </c>
      <c r="D167" s="32">
        <v>-0.02856171821797208</v>
      </c>
      <c r="F167" s="17">
        <f t="shared" si="1"/>
        <v>-0.02483113387</v>
      </c>
    </row>
    <row r="168">
      <c r="A168" s="31">
        <v>44589.0</v>
      </c>
      <c r="B168" s="32">
        <v>0.004527567680603902</v>
      </c>
      <c r="C168" s="32">
        <v>0.03784712270111263</v>
      </c>
      <c r="D168" s="32">
        <v>0.02996781011834351</v>
      </c>
      <c r="F168" s="17">
        <f t="shared" si="1"/>
        <v>0.02469953116</v>
      </c>
    </row>
    <row r="169">
      <c r="A169" s="31">
        <v>44592.0</v>
      </c>
      <c r="B169" s="32">
        <v>0.029652473877933353</v>
      </c>
      <c r="C169" s="32">
        <v>0.027705451888386072</v>
      </c>
      <c r="D169" s="32">
        <v>0.05905489956180505</v>
      </c>
      <c r="F169" s="17">
        <f t="shared" si="1"/>
        <v>0.04082933755</v>
      </c>
    </row>
    <row r="170">
      <c r="A170" s="31">
        <v>44593.0</v>
      </c>
      <c r="B170" s="32">
        <v>0.020648599822475106</v>
      </c>
      <c r="C170" s="32">
        <v>-0.012787990783410103</v>
      </c>
      <c r="D170" s="32">
        <v>-0.018731884054799024</v>
      </c>
      <c r="F170" s="17">
        <f t="shared" si="1"/>
        <v>-0.00513457091</v>
      </c>
    </row>
    <row r="171">
      <c r="A171" s="31">
        <v>44594.0</v>
      </c>
      <c r="B171" s="32">
        <v>0.008492946916760603</v>
      </c>
      <c r="C171" s="32">
        <v>0.004667989132883955</v>
      </c>
      <c r="D171" s="32">
        <v>0.0023644013969857094</v>
      </c>
      <c r="F171" s="17">
        <f t="shared" si="1"/>
        <v>0.004894041374</v>
      </c>
    </row>
    <row r="172">
      <c r="A172" s="31">
        <v>44595.0</v>
      </c>
      <c r="B172" s="32">
        <v>-0.02716687798780432</v>
      </c>
      <c r="C172" s="32">
        <v>-2.9039376586194635E-4</v>
      </c>
      <c r="D172" s="32">
        <v>-0.025212148613431355</v>
      </c>
      <c r="F172" s="17">
        <f t="shared" si="1"/>
        <v>-0.01832204097</v>
      </c>
    </row>
    <row r="173">
      <c r="A173" s="31">
        <v>44596.0</v>
      </c>
      <c r="B173" s="32">
        <v>0.0014666974939644233</v>
      </c>
      <c r="C173" s="32">
        <v>-0.005693399016276597</v>
      </c>
      <c r="D173" s="32">
        <v>0.017953440945531175</v>
      </c>
      <c r="F173" s="17">
        <f t="shared" si="1"/>
        <v>0.005913365922</v>
      </c>
    </row>
    <row r="174">
      <c r="A174" s="31">
        <v>44599.0</v>
      </c>
      <c r="B174" s="32">
        <v>-0.014990509654685085</v>
      </c>
      <c r="C174" s="32">
        <v>-0.023546624598305615</v>
      </c>
      <c r="D174" s="32">
        <v>0.02899068064502515</v>
      </c>
      <c r="F174" s="17">
        <f t="shared" si="1"/>
        <v>0.00003513198211</v>
      </c>
    </row>
    <row r="175">
      <c r="A175" s="31">
        <v>44600.0</v>
      </c>
      <c r="B175" s="32">
        <v>0.0013411364431486557</v>
      </c>
      <c r="C175" s="32">
        <v>0.002932039337444901</v>
      </c>
      <c r="D175" s="32">
        <v>-0.0032002025672658247</v>
      </c>
      <c r="F175" s="17">
        <f t="shared" si="1"/>
        <v>0.000001871707272</v>
      </c>
    </row>
    <row r="176">
      <c r="A176" s="31">
        <v>44601.0</v>
      </c>
      <c r="B176" s="32">
        <v>0.011646188452417612</v>
      </c>
      <c r="C176" s="32">
        <v>0.014199658934903572</v>
      </c>
      <c r="D176" s="32">
        <v>0.006841233301323546</v>
      </c>
      <c r="F176" s="17">
        <f t="shared" si="1"/>
        <v>0.01049024754</v>
      </c>
    </row>
    <row r="177">
      <c r="A177" s="31">
        <v>44602.0</v>
      </c>
      <c r="B177" s="32">
        <v>0.01859202560812224</v>
      </c>
      <c r="C177" s="32">
        <v>-0.004764971989905666</v>
      </c>
      <c r="D177" s="32">
        <v>-0.008359755255141462</v>
      </c>
      <c r="F177" s="17">
        <f t="shared" si="1"/>
        <v>0.0008042139834</v>
      </c>
    </row>
    <row r="178">
      <c r="A178" s="31">
        <v>44603.0</v>
      </c>
      <c r="B178" s="32">
        <v>-0.027266049194385838</v>
      </c>
      <c r="C178" s="32">
        <v>-0.017909946294078872</v>
      </c>
      <c r="D178" s="32">
        <v>-0.027092429552441198</v>
      </c>
      <c r="F178" s="17">
        <f t="shared" si="1"/>
        <v>-0.02438977047</v>
      </c>
    </row>
    <row r="179">
      <c r="A179" s="31">
        <v>44606.0</v>
      </c>
      <c r="B179" s="32">
        <v>-0.022743791527493486</v>
      </c>
      <c r="C179" s="32">
        <v>-0.03900093168823356</v>
      </c>
      <c r="D179" s="32">
        <v>-0.06573077667870443</v>
      </c>
      <c r="F179" s="17">
        <f t="shared" si="1"/>
        <v>-0.04481572764</v>
      </c>
    </row>
    <row r="180">
      <c r="A180" s="31">
        <v>44607.0</v>
      </c>
      <c r="B180" s="32">
        <v>0.03331949270755861</v>
      </c>
      <c r="C180" s="32">
        <v>0.027744754388268473</v>
      </c>
      <c r="D180" s="32">
        <v>0.02889445682368032</v>
      </c>
      <c r="F180" s="17">
        <f t="shared" si="1"/>
        <v>0.02987705686</v>
      </c>
    </row>
    <row r="181">
      <c r="A181" s="31">
        <v>44608.0</v>
      </c>
      <c r="B181" s="32">
        <v>-0.002847663454623935</v>
      </c>
      <c r="C181" s="32">
        <v>0.005484460694698354</v>
      </c>
      <c r="D181" s="32">
        <v>-0.015827452779315705</v>
      </c>
      <c r="F181" s="17">
        <f t="shared" si="1"/>
        <v>-0.00553994194</v>
      </c>
    </row>
    <row r="182">
      <c r="A182" s="31">
        <v>44609.0</v>
      </c>
      <c r="B182" s="32">
        <v>-0.004903940321760183</v>
      </c>
      <c r="C182" s="32">
        <v>-0.003818210909090946</v>
      </c>
      <c r="D182" s="32">
        <v>-0.008180324355218975</v>
      </c>
      <c r="F182" s="17">
        <f t="shared" si="1"/>
        <v>-0.005888775111</v>
      </c>
    </row>
    <row r="183">
      <c r="A183" s="31">
        <v>44610.0</v>
      </c>
      <c r="B183" s="32">
        <v>-0.010349082498199703</v>
      </c>
      <c r="C183" s="32">
        <v>-0.0066922189701444975</v>
      </c>
      <c r="D183" s="32">
        <v>0.00637493246893571</v>
      </c>
      <c r="F183" s="17">
        <f t="shared" si="1"/>
        <v>-0.002562417453</v>
      </c>
    </row>
    <row r="184">
      <c r="A184" s="31">
        <v>44613.0</v>
      </c>
      <c r="B184" s="32">
        <v>0.013913706131856</v>
      </c>
      <c r="C184" s="32">
        <v>-0.0158632355983556</v>
      </c>
      <c r="D184" s="32">
        <v>-0.03614630305633097</v>
      </c>
      <c r="F184" s="17">
        <f t="shared" si="1"/>
        <v>-0.01504338006</v>
      </c>
    </row>
    <row r="185">
      <c r="A185" s="31">
        <v>44614.0</v>
      </c>
      <c r="B185" s="32">
        <v>0.002108987752551172</v>
      </c>
      <c r="C185" s="32">
        <v>-0.017177056992470366</v>
      </c>
      <c r="D185" s="32">
        <v>-0.025568082875389888</v>
      </c>
      <c r="F185" s="17">
        <f t="shared" si="1"/>
        <v>-0.01474765392</v>
      </c>
    </row>
    <row r="186">
      <c r="A186" s="31">
        <v>44615.0</v>
      </c>
      <c r="B186" s="32">
        <v>0.004900971613355619</v>
      </c>
      <c r="C186" s="32">
        <v>0.03134498575516674</v>
      </c>
      <c r="D186" s="32">
        <v>0.0065387718602315965</v>
      </c>
      <c r="F186" s="17">
        <f t="shared" si="1"/>
        <v>0.01348929595</v>
      </c>
    </row>
    <row r="187">
      <c r="A187" s="31">
        <v>44616.0</v>
      </c>
      <c r="B187" s="32">
        <v>-0.03712307593364533</v>
      </c>
      <c r="C187" s="32">
        <v>-0.09369434548862808</v>
      </c>
      <c r="D187" s="32">
        <v>-0.08020441446148023</v>
      </c>
      <c r="F187" s="17">
        <f t="shared" si="1"/>
        <v>-0.07132699221</v>
      </c>
    </row>
    <row r="188">
      <c r="A188" s="31">
        <v>44617.0</v>
      </c>
      <c r="B188" s="32">
        <v>0.009802432300295899</v>
      </c>
      <c r="C188" s="32">
        <v>0.08393742023880368</v>
      </c>
      <c r="D188" s="32">
        <v>0.07007620801971184</v>
      </c>
      <c r="F188" s="17">
        <f t="shared" si="1"/>
        <v>0.05615243897</v>
      </c>
    </row>
    <row r="189">
      <c r="A189" s="31">
        <v>44620.0</v>
      </c>
      <c r="B189" s="32">
        <v>0.012392305144231869</v>
      </c>
      <c r="C189" s="32">
        <v>0.011687469999999962</v>
      </c>
      <c r="D189" s="32">
        <v>-0.010446540559252296</v>
      </c>
      <c r="F189" s="17">
        <f t="shared" si="1"/>
        <v>0.00304531632</v>
      </c>
    </row>
    <row r="190">
      <c r="A190" s="31">
        <v>44622.0</v>
      </c>
      <c r="B190" s="32">
        <v>-0.0074609041612623715</v>
      </c>
      <c r="C190" s="32">
        <v>-6.795428631729333E-4</v>
      </c>
      <c r="D190" s="32">
        <v>0.020670523251364457</v>
      </c>
      <c r="F190" s="17">
        <f t="shared" si="1"/>
        <v>0.005826075193</v>
      </c>
    </row>
    <row r="191">
      <c r="A191" s="31">
        <v>44623.0</v>
      </c>
      <c r="B191" s="32">
        <v>0.010600144750172031</v>
      </c>
      <c r="C191" s="32">
        <v>-0.011313012037284988</v>
      </c>
      <c r="D191" s="32">
        <v>0.01443303723105689</v>
      </c>
      <c r="F191" s="17">
        <f t="shared" si="1"/>
        <v>0.005559354706</v>
      </c>
    </row>
    <row r="192">
      <c r="A192" s="31">
        <v>44624.0</v>
      </c>
      <c r="B192" s="32">
        <v>0.001423757465305026</v>
      </c>
      <c r="C192" s="32">
        <v>-0.0655286968390062</v>
      </c>
      <c r="D192" s="32">
        <v>0.002109796219175545</v>
      </c>
      <c r="F192" s="17">
        <f t="shared" si="1"/>
        <v>-0.01838756332</v>
      </c>
    </row>
    <row r="193">
      <c r="A193" s="31">
        <v>44627.0</v>
      </c>
      <c r="B193" s="32">
        <v>0.009603624748692864</v>
      </c>
      <c r="C193" s="32">
        <v>-0.039143526262964204</v>
      </c>
      <c r="D193" s="32">
        <v>-0.01780899308539897</v>
      </c>
      <c r="F193" s="17">
        <f t="shared" si="1"/>
        <v>-0.01598556769</v>
      </c>
    </row>
    <row r="194">
      <c r="A194" s="31">
        <v>44628.0</v>
      </c>
      <c r="B194" s="32">
        <v>0.022042116003684727</v>
      </c>
      <c r="C194" s="32">
        <v>6.962116991641341E-5</v>
      </c>
      <c r="D194" s="32">
        <v>0.0027385018498036306</v>
      </c>
      <c r="F194" s="17">
        <f t="shared" si="1"/>
        <v>0.007728921892</v>
      </c>
    </row>
    <row r="195">
      <c r="A195" s="31">
        <v>44629.0</v>
      </c>
      <c r="B195" s="32">
        <v>0.019767194898544855</v>
      </c>
      <c r="C195" s="32">
        <v>0.02367523192549653</v>
      </c>
      <c r="D195" s="32">
        <v>0.06394629186338532</v>
      </c>
      <c r="F195" s="17">
        <f t="shared" si="1"/>
        <v>0.03861124479</v>
      </c>
    </row>
    <row r="196">
      <c r="A196" s="31">
        <v>44630.0</v>
      </c>
      <c r="B196" s="32">
        <v>0.006920918833155272</v>
      </c>
      <c r="C196" s="32">
        <v>0.03135839517896841</v>
      </c>
      <c r="D196" s="32">
        <v>0.002438124553124503</v>
      </c>
      <c r="F196" s="17">
        <f t="shared" si="1"/>
        <v>0.01245904402</v>
      </c>
    </row>
    <row r="197">
      <c r="A197" s="31">
        <v>44631.0</v>
      </c>
      <c r="B197" s="32">
        <v>-0.0021359460806929867</v>
      </c>
      <c r="C197" s="32">
        <v>-4.61648873604462E-4</v>
      </c>
      <c r="D197" s="32">
        <v>0.015855863095397896</v>
      </c>
      <c r="F197" s="17">
        <f t="shared" si="1"/>
        <v>0.005563066752</v>
      </c>
    </row>
    <row r="198">
      <c r="A198" s="31">
        <v>44634.0</v>
      </c>
      <c r="B198" s="32">
        <v>0.037705790889132854</v>
      </c>
      <c r="C198" s="32">
        <v>-0.006466544374793838</v>
      </c>
      <c r="D198" s="32">
        <v>0.006803587270867303</v>
      </c>
      <c r="F198" s="17">
        <f t="shared" si="1"/>
        <v>0.01209320886</v>
      </c>
    </row>
    <row r="199">
      <c r="A199" s="31">
        <v>44635.0</v>
      </c>
      <c r="B199" s="32">
        <v>-0.02718564729047275</v>
      </c>
      <c r="C199" s="32">
        <v>0.004715478665300589</v>
      </c>
      <c r="D199" s="32">
        <v>-0.024017868285585886</v>
      </c>
      <c r="F199" s="17">
        <f t="shared" si="1"/>
        <v>-0.0163481979</v>
      </c>
    </row>
    <row r="200">
      <c r="A200" s="31">
        <v>44636.0</v>
      </c>
      <c r="B200" s="32">
        <v>0.02723860907155344</v>
      </c>
      <c r="C200" s="32">
        <v>0.01566628189319038</v>
      </c>
      <c r="D200" s="32">
        <v>0.030861199577283987</v>
      </c>
      <c r="F200" s="17">
        <f t="shared" si="1"/>
        <v>0.02521594712</v>
      </c>
    </row>
    <row r="201">
      <c r="A201" s="31">
        <v>44637.0</v>
      </c>
      <c r="B201" s="32">
        <v>-0.018418570740951816</v>
      </c>
      <c r="C201" s="32">
        <v>0.002863666775138321</v>
      </c>
      <c r="D201" s="32">
        <v>0.03027006695406694</v>
      </c>
      <c r="F201" s="17">
        <f t="shared" si="1"/>
        <v>0.007441555592</v>
      </c>
    </row>
    <row r="202">
      <c r="A202" s="31">
        <v>44641.0</v>
      </c>
      <c r="B202" s="32">
        <v>-8.357203817843818E-4</v>
      </c>
      <c r="C202" s="32">
        <v>3.8936724683961044E-4</v>
      </c>
      <c r="D202" s="32">
        <v>-0.0037676186631681635</v>
      </c>
      <c r="F202" s="17">
        <f t="shared" si="1"/>
        <v>-0.001640953406</v>
      </c>
    </row>
    <row r="203">
      <c r="A203" s="31">
        <v>44642.0</v>
      </c>
      <c r="B203" s="32">
        <v>0.018536992575314996</v>
      </c>
      <c r="C203" s="32">
        <v>-0.006422331495296809</v>
      </c>
      <c r="D203" s="32">
        <v>0.014702022353537044</v>
      </c>
      <c r="F203" s="17">
        <f t="shared" si="1"/>
        <v>0.009515207265</v>
      </c>
    </row>
    <row r="204">
      <c r="A204" s="31">
        <v>44643.0</v>
      </c>
      <c r="B204" s="32">
        <v>-0.007947440822963558</v>
      </c>
      <c r="C204" s="32">
        <v>8.488169367796208E-4</v>
      </c>
      <c r="D204" s="32">
        <v>0.02387986844231997</v>
      </c>
      <c r="F204" s="17">
        <f t="shared" si="1"/>
        <v>0.007422360211</v>
      </c>
    </row>
    <row r="205">
      <c r="A205" s="31">
        <v>44644.0</v>
      </c>
      <c r="B205" s="32">
        <v>0.007637217911080322</v>
      </c>
      <c r="C205" s="32">
        <v>0.00789351934930883</v>
      </c>
      <c r="D205" s="32">
        <v>-0.011063455278211114</v>
      </c>
      <c r="F205" s="17">
        <f t="shared" si="1"/>
        <v>0.0002338390668</v>
      </c>
    </row>
    <row r="206">
      <c r="A206" s="31">
        <v>44645.0</v>
      </c>
      <c r="B206" s="32">
        <v>-0.0053797118055896485</v>
      </c>
      <c r="C206" s="32">
        <v>-0.0031715365695793077</v>
      </c>
      <c r="D206" s="32">
        <v>0.10928240199157012</v>
      </c>
      <c r="F206" s="17">
        <f t="shared" si="1"/>
        <v>0.04114758628</v>
      </c>
    </row>
    <row r="207">
      <c r="A207" s="31">
        <v>44648.0</v>
      </c>
      <c r="B207" s="32">
        <v>-0.0014121792282663036</v>
      </c>
      <c r="C207" s="32">
        <v>-0.0049347289906067566</v>
      </c>
      <c r="D207" s="32">
        <v>0.07078521381300323</v>
      </c>
      <c r="F207" s="17">
        <f t="shared" si="1"/>
        <v>0.02641001306</v>
      </c>
    </row>
    <row r="208">
      <c r="A208" s="31">
        <v>44649.0</v>
      </c>
      <c r="B208" s="32">
        <v>0.006457108621073356</v>
      </c>
      <c r="C208" s="32">
        <v>0.0017617957585643975</v>
      </c>
      <c r="D208" s="32">
        <v>-0.05341712035858549</v>
      </c>
      <c r="F208" s="17">
        <f t="shared" si="1"/>
        <v>-0.01890117683</v>
      </c>
    </row>
    <row r="209">
      <c r="A209" s="31">
        <v>44650.0</v>
      </c>
      <c r="B209" s="32">
        <v>0.00951747136797458</v>
      </c>
      <c r="C209" s="32">
        <v>0.02859563924738843</v>
      </c>
      <c r="D209" s="32">
        <v>0.051906699672684464</v>
      </c>
      <c r="F209" s="17">
        <f t="shared" si="1"/>
        <v>0.03219661305</v>
      </c>
    </row>
    <row r="210">
      <c r="A210" s="31">
        <v>44651.0</v>
      </c>
      <c r="B210" s="32">
        <v>0.0015231624121614918</v>
      </c>
      <c r="C210" s="32">
        <v>-0.01880815176454663</v>
      </c>
      <c r="D210" s="32">
        <v>-0.017411681641837016</v>
      </c>
      <c r="F210" s="17">
        <f t="shared" si="1"/>
        <v>-0.01215016946</v>
      </c>
    </row>
    <row r="211">
      <c r="A211" s="31">
        <v>44652.0</v>
      </c>
      <c r="B211" s="32">
        <v>-0.0017305645654003066</v>
      </c>
      <c r="C211" s="32">
        <v>0.03033432249385327</v>
      </c>
      <c r="D211" s="32">
        <v>0.008218119691036526</v>
      </c>
      <c r="F211" s="17">
        <f t="shared" si="1"/>
        <v>0.01186837525</v>
      </c>
    </row>
    <row r="212">
      <c r="A212" s="31">
        <v>44655.0</v>
      </c>
      <c r="B212" s="32">
        <v>-0.010821936628785687</v>
      </c>
      <c r="C212" s="32">
        <v>0.04322224941284516</v>
      </c>
      <c r="D212" s="32">
        <v>0.010872048303568832</v>
      </c>
      <c r="F212" s="17">
        <f t="shared" si="1"/>
        <v>0.01406891316</v>
      </c>
    </row>
    <row r="213">
      <c r="A213" s="31">
        <v>44656.0</v>
      </c>
      <c r="B213" s="32">
        <v>-0.011604118839375399</v>
      </c>
      <c r="C213" s="32">
        <v>-0.012429489432984475</v>
      </c>
      <c r="D213" s="32">
        <v>-0.014578796536747433</v>
      </c>
      <c r="F213" s="17">
        <f t="shared" si="1"/>
        <v>-0.0130416011</v>
      </c>
    </row>
    <row r="214">
      <c r="A214" s="31">
        <v>44657.0</v>
      </c>
      <c r="B214" s="32">
        <v>-0.01732846188591859</v>
      </c>
      <c r="C214" s="32">
        <v>-0.036967185367802524</v>
      </c>
      <c r="D214" s="32">
        <v>0.001723381334802135</v>
      </c>
      <c r="F214" s="17">
        <f t="shared" si="1"/>
        <v>-0.01559934164</v>
      </c>
    </row>
    <row r="215">
      <c r="A215" s="31">
        <v>44658.0</v>
      </c>
      <c r="B215" s="32">
        <v>-0.009760218844763224</v>
      </c>
      <c r="C215" s="32">
        <v>-0.00530338018354625</v>
      </c>
      <c r="D215" s="32">
        <v>-0.016399406271646717</v>
      </c>
      <c r="F215" s="17">
        <f t="shared" si="1"/>
        <v>-0.01107884222</v>
      </c>
    </row>
    <row r="216">
      <c r="A216" s="31">
        <v>44659.0</v>
      </c>
      <c r="B216" s="32">
        <v>0.001987838763114285</v>
      </c>
      <c r="C216" s="32">
        <v>0.0033005090447476605</v>
      </c>
      <c r="D216" s="32">
        <v>-0.007156040535383642</v>
      </c>
      <c r="F216" s="17">
        <f t="shared" si="1"/>
        <v>-0.001275911872</v>
      </c>
    </row>
    <row r="217">
      <c r="A217" s="31">
        <v>44662.0</v>
      </c>
      <c r="B217" s="32">
        <v>-0.02647962506090104</v>
      </c>
      <c r="C217" s="32">
        <v>0.013981208749983008</v>
      </c>
      <c r="D217" s="32">
        <v>0.0029878638853873627</v>
      </c>
      <c r="F217" s="17">
        <f t="shared" si="1"/>
        <v>-0.002554379339</v>
      </c>
    </row>
    <row r="218">
      <c r="A218" s="31">
        <v>44663.0</v>
      </c>
      <c r="B218" s="32">
        <v>-0.013642465444804327</v>
      </c>
      <c r="C218" s="32">
        <v>-0.022211189751599084</v>
      </c>
      <c r="D218" s="32">
        <v>-0.03465677636697792</v>
      </c>
      <c r="F218" s="17">
        <f t="shared" si="1"/>
        <v>-0.02461880711</v>
      </c>
    </row>
    <row r="219">
      <c r="A219" s="31">
        <v>44664.0</v>
      </c>
      <c r="B219" s="32">
        <v>0.0035008741550935306</v>
      </c>
      <c r="C219" s="32">
        <v>-0.004211317127452267</v>
      </c>
      <c r="D219" s="32">
        <v>-0.003026452418467692</v>
      </c>
      <c r="F219" s="17">
        <f t="shared" si="1"/>
        <v>-0.001423713859</v>
      </c>
    </row>
    <row r="220">
      <c r="A220" s="31">
        <v>44669.0</v>
      </c>
      <c r="B220" s="32">
        <v>-0.07271740667229819</v>
      </c>
      <c r="C220" s="32">
        <v>-0.01678838421307264</v>
      </c>
      <c r="D220" s="32">
        <v>-0.06773177117866547</v>
      </c>
      <c r="F220" s="17">
        <f t="shared" si="1"/>
        <v>-0.05394444574</v>
      </c>
    </row>
    <row r="221">
      <c r="A221" s="31">
        <v>44670.0</v>
      </c>
      <c r="B221" s="32">
        <v>-0.036635021044011055</v>
      </c>
      <c r="C221" s="32">
        <v>-0.018834739017183456</v>
      </c>
      <c r="D221" s="32">
        <v>-0.01571149891392063</v>
      </c>
      <c r="F221" s="17">
        <f t="shared" si="1"/>
        <v>-0.02292552758</v>
      </c>
    </row>
    <row r="222">
      <c r="A222" s="31">
        <v>44671.0</v>
      </c>
      <c r="B222" s="32">
        <v>0.016453233674775965</v>
      </c>
      <c r="C222" s="32">
        <v>-0.0068416127532381675</v>
      </c>
      <c r="D222" s="32">
        <v>0.014889907834789547</v>
      </c>
      <c r="F222" s="17">
        <f t="shared" si="1"/>
        <v>0.00883944941</v>
      </c>
    </row>
    <row r="223">
      <c r="A223" s="31">
        <v>44672.0</v>
      </c>
      <c r="B223" s="32">
        <v>0.01958814572011024</v>
      </c>
      <c r="C223" s="32">
        <v>0.016118309773728592</v>
      </c>
      <c r="D223" s="32">
        <v>0.012314753461150225</v>
      </c>
      <c r="F223" s="17">
        <f t="shared" si="1"/>
        <v>0.01563783803</v>
      </c>
    </row>
    <row r="224">
      <c r="A224" s="31">
        <v>44673.0</v>
      </c>
      <c r="B224" s="32">
        <v>-0.02060174017205005</v>
      </c>
      <c r="C224" s="32">
        <v>-0.005857976514722015</v>
      </c>
      <c r="D224" s="32">
        <v>0.05745932632438446</v>
      </c>
      <c r="F224" s="17">
        <f t="shared" si="1"/>
        <v>0.01504581552</v>
      </c>
    </row>
    <row r="225">
      <c r="A225" s="31">
        <v>44676.0</v>
      </c>
      <c r="B225" s="32">
        <v>-0.01535840029806156</v>
      </c>
      <c r="C225" s="32">
        <v>-0.01271191187428112</v>
      </c>
      <c r="D225" s="32">
        <v>-0.041708554438860956</v>
      </c>
      <c r="F225" s="17">
        <f t="shared" si="1"/>
        <v>-0.02510451543</v>
      </c>
    </row>
    <row r="226">
      <c r="A226" s="31">
        <v>44677.0</v>
      </c>
      <c r="B226" s="32">
        <v>0.012747437259585244</v>
      </c>
      <c r="C226" s="32">
        <v>0.020721583285029526</v>
      </c>
      <c r="D226" s="32">
        <v>-0.02085671911053995</v>
      </c>
      <c r="F226" s="17">
        <f t="shared" si="1"/>
        <v>0.001698018519</v>
      </c>
    </row>
    <row r="227">
      <c r="A227" s="31">
        <v>44678.0</v>
      </c>
      <c r="B227" s="32">
        <v>-0.01783678115117018</v>
      </c>
      <c r="C227" s="32">
        <v>-0.016490359631935222</v>
      </c>
      <c r="D227" s="32">
        <v>0.01766052245427312</v>
      </c>
      <c r="F227" s="17">
        <f t="shared" si="1"/>
        <v>-0.003233933253</v>
      </c>
    </row>
    <row r="228">
      <c r="A228" s="31">
        <v>44679.0</v>
      </c>
      <c r="B228" s="32">
        <v>0.019191090970914843</v>
      </c>
      <c r="C228" s="32">
        <v>0.011890479625918543</v>
      </c>
      <c r="D228" s="32">
        <v>-0.017209958377043044</v>
      </c>
      <c r="F228" s="17">
        <f t="shared" si="1"/>
        <v>0.002440487828</v>
      </c>
    </row>
    <row r="229">
      <c r="A229" s="31">
        <v>44680.0</v>
      </c>
      <c r="B229" s="32">
        <v>-0.009509621653122044</v>
      </c>
      <c r="C229" s="32">
        <v>-0.015117522626326211</v>
      </c>
      <c r="D229" s="32">
        <v>-0.01243067508127749</v>
      </c>
      <c r="F229" s="17">
        <f t="shared" si="1"/>
        <v>-0.01236041332</v>
      </c>
    </row>
    <row r="230">
      <c r="A230" s="31">
        <v>44683.0</v>
      </c>
      <c r="B230" s="32">
        <v>-0.016937289509152985</v>
      </c>
      <c r="C230" s="32">
        <v>-0.011327852891032617</v>
      </c>
      <c r="D230" s="32">
        <v>-0.009521043119029177</v>
      </c>
      <c r="F230" s="17">
        <f t="shared" si="1"/>
        <v>-0.01228795997</v>
      </c>
    </row>
    <row r="231">
      <c r="A231" s="31">
        <v>44685.0</v>
      </c>
      <c r="B231" s="32">
        <v>-0.003536632706035078</v>
      </c>
      <c r="C231" s="32">
        <v>-0.021491492881355892</v>
      </c>
      <c r="D231" s="32">
        <v>0.013587930528853986</v>
      </c>
      <c r="F231" s="17">
        <f t="shared" si="1"/>
        <v>-0.002073265465</v>
      </c>
    </row>
    <row r="232">
      <c r="A232" s="31">
        <v>44686.0</v>
      </c>
      <c r="B232" s="32">
        <v>0.03230111257676114</v>
      </c>
      <c r="C232" s="32">
        <v>-0.006166440590321403</v>
      </c>
      <c r="D232" s="32">
        <v>0.006391075033755591</v>
      </c>
      <c r="F232" s="17">
        <f t="shared" si="1"/>
        <v>0.01039683161</v>
      </c>
    </row>
    <row r="233">
      <c r="A233" s="31">
        <v>44687.0</v>
      </c>
      <c r="B233" s="32">
        <v>-0.026685201627325628</v>
      </c>
      <c r="C233" s="32">
        <v>-0.017638069978169534</v>
      </c>
      <c r="D233" s="32">
        <v>-0.040658325505561685</v>
      </c>
      <c r="F233" s="17">
        <f t="shared" si="1"/>
        <v>-0.02956031168</v>
      </c>
    </row>
    <row r="234">
      <c r="A234" s="31">
        <v>44690.0</v>
      </c>
      <c r="B234" s="32">
        <v>0.01782415687058351</v>
      </c>
      <c r="C234" s="32">
        <v>-0.019586953708102234</v>
      </c>
      <c r="D234" s="32">
        <v>-0.03738681339904107</v>
      </c>
      <c r="F234" s="17">
        <f t="shared" si="1"/>
        <v>-0.01548356441</v>
      </c>
    </row>
    <row r="235">
      <c r="A235" s="31">
        <v>44691.0</v>
      </c>
      <c r="B235" s="32">
        <v>-0.0110484772599506</v>
      </c>
      <c r="C235" s="32">
        <v>-0.01737242128121607</v>
      </c>
      <c r="D235" s="32">
        <v>-0.05695067606234433</v>
      </c>
      <c r="F235" s="17">
        <f t="shared" si="1"/>
        <v>-0.03130653999</v>
      </c>
    </row>
    <row r="236">
      <c r="A236" s="31">
        <v>44692.0</v>
      </c>
      <c r="B236" s="32">
        <v>-0.016902768834513845</v>
      </c>
      <c r="C236" s="32">
        <v>-0.03189690460405161</v>
      </c>
      <c r="D236" s="32">
        <v>0.008333671284671237</v>
      </c>
      <c r="F236" s="17">
        <f t="shared" si="1"/>
        <v>-0.01130643352</v>
      </c>
    </row>
    <row r="237">
      <c r="A237" s="31">
        <v>44693.0</v>
      </c>
      <c r="B237" s="32">
        <v>-0.011756968069428561</v>
      </c>
      <c r="C237" s="32">
        <v>-0.055470937956631335</v>
      </c>
      <c r="D237" s="32">
        <v>0.001746089487086213</v>
      </c>
      <c r="F237" s="17">
        <f t="shared" si="1"/>
        <v>-0.01946993601</v>
      </c>
    </row>
    <row r="238">
      <c r="A238" s="31">
        <v>44694.0</v>
      </c>
      <c r="B238" s="32">
        <v>-0.002916241289172913</v>
      </c>
      <c r="C238" s="32">
        <v>0.050189257706368756</v>
      </c>
      <c r="D238" s="32">
        <v>0.1455661125717191</v>
      </c>
      <c r="F238" s="17">
        <f t="shared" si="1"/>
        <v>0.07240834995</v>
      </c>
    </row>
    <row r="239">
      <c r="A239" s="31">
        <v>44697.0</v>
      </c>
      <c r="B239" s="32">
        <v>-0.010170199252801966</v>
      </c>
      <c r="C239" s="32">
        <v>0.0029917337157115984</v>
      </c>
      <c r="D239" s="32">
        <v>0.029733791015692533</v>
      </c>
      <c r="F239" s="17">
        <f t="shared" si="1"/>
        <v>0.009739976745</v>
      </c>
    </row>
    <row r="240">
      <c r="A240" s="31">
        <v>44698.0</v>
      </c>
      <c r="B240" s="32">
        <v>0.019709875410004095</v>
      </c>
      <c r="C240" s="32">
        <v>0.044971356022944595</v>
      </c>
      <c r="D240" s="32">
        <v>0.009407522816588498</v>
      </c>
      <c r="F240" s="17">
        <f t="shared" si="1"/>
        <v>0.02316737856</v>
      </c>
    </row>
    <row r="241">
      <c r="A241" s="31">
        <v>44699.0</v>
      </c>
      <c r="B241" s="32">
        <v>-0.006091738482330788</v>
      </c>
      <c r="C241" s="32">
        <v>-0.016687438482765875</v>
      </c>
      <c r="D241" s="32">
        <v>0.029295386513360607</v>
      </c>
      <c r="F241" s="17">
        <f t="shared" si="1"/>
        <v>0.004884401516</v>
      </c>
    </row>
    <row r="242">
      <c r="A242" s="31">
        <v>44700.0</v>
      </c>
      <c r="B242" s="32">
        <v>-0.054366505210680344</v>
      </c>
      <c r="C242" s="32">
        <v>-0.025158204689244557</v>
      </c>
      <c r="D242" s="32">
        <v>-0.020882490599086694</v>
      </c>
      <c r="F242" s="17">
        <f t="shared" si="1"/>
        <v>-0.03221040921</v>
      </c>
    </row>
    <row r="243">
      <c r="A243" s="31">
        <v>44701.0</v>
      </c>
      <c r="B243" s="32">
        <v>0.019619521093880456</v>
      </c>
      <c r="C243" s="32">
        <v>0.011300334841884504</v>
      </c>
      <c r="D243" s="32">
        <v>0.018265495491133477</v>
      </c>
      <c r="F243" s="17">
        <f t="shared" si="1"/>
        <v>0.01658215498</v>
      </c>
    </row>
    <row r="244">
      <c r="A244" s="31">
        <v>44704.0</v>
      </c>
      <c r="B244" s="32">
        <v>0.009105590338773206</v>
      </c>
      <c r="C244" s="32">
        <v>-0.013590033975084938</v>
      </c>
      <c r="D244" s="32">
        <v>0.015376064260848232</v>
      </c>
      <c r="F244" s="17">
        <f t="shared" si="1"/>
        <v>0.004805092613</v>
      </c>
    </row>
    <row r="245">
      <c r="A245" s="31">
        <v>44705.0</v>
      </c>
      <c r="B245" s="32">
        <v>-0.018659781770747254</v>
      </c>
      <c r="C245" s="32">
        <v>-0.0032146590126291156</v>
      </c>
      <c r="D245" s="32">
        <v>-0.009874979834343172</v>
      </c>
      <c r="F245" s="17">
        <f t="shared" si="1"/>
        <v>-0.01051232417</v>
      </c>
    </row>
    <row r="246">
      <c r="A246" s="31">
        <v>44706.0</v>
      </c>
      <c r="B246" s="32">
        <v>-0.021200589174184555</v>
      </c>
      <c r="C246" s="32">
        <v>-0.0056822726923527155</v>
      </c>
      <c r="D246" s="32">
        <v>-0.039752191034702414</v>
      </c>
      <c r="F246" s="17">
        <f t="shared" si="1"/>
        <v>-0.02396573497</v>
      </c>
    </row>
    <row r="247">
      <c r="A247" s="31">
        <v>44707.0</v>
      </c>
      <c r="B247" s="32">
        <v>0.009571413711226396</v>
      </c>
      <c r="C247" s="32">
        <v>-0.012433373775271449</v>
      </c>
      <c r="D247" s="32">
        <v>0.016875560472499797</v>
      </c>
      <c r="F247" s="17">
        <f t="shared" si="1"/>
        <v>0.00589163617</v>
      </c>
    </row>
    <row r="248">
      <c r="A248" s="31">
        <v>44708.0</v>
      </c>
      <c r="B248" s="32">
        <v>0.026264985629400054</v>
      </c>
      <c r="C248" s="32">
        <v>0.020409739615524294</v>
      </c>
      <c r="D248" s="32">
        <v>0.00952385687040223</v>
      </c>
      <c r="F248" s="17">
        <f t="shared" si="1"/>
        <v>0.01781196032</v>
      </c>
    </row>
    <row r="249">
      <c r="A249" s="31">
        <v>44711.0</v>
      </c>
      <c r="B249" s="32">
        <v>0.04478740484818674</v>
      </c>
      <c r="C249" s="32">
        <v>0.06536893741370635</v>
      </c>
      <c r="D249" s="32">
        <v>-0.031210663891449976</v>
      </c>
      <c r="F249" s="17">
        <f t="shared" si="1"/>
        <v>0.02056263712</v>
      </c>
    </row>
    <row r="250">
      <c r="A250" s="31">
        <v>44712.0</v>
      </c>
      <c r="B250" s="32">
        <v>-0.015195226785062787</v>
      </c>
      <c r="C250" s="32">
        <v>-0.0035246037758458206</v>
      </c>
      <c r="D250" s="32">
        <v>0.03768858650819345</v>
      </c>
      <c r="F250" s="17">
        <f t="shared" si="1"/>
        <v>0.009459485435</v>
      </c>
    </row>
    <row r="251">
      <c r="A251" s="31">
        <v>44713.0</v>
      </c>
      <c r="B251" s="32">
        <v>-0.016659967677466914</v>
      </c>
      <c r="C251" s="32">
        <v>-0.0070021451410504035</v>
      </c>
      <c r="D251" s="32">
        <v>0.0268342343477807</v>
      </c>
      <c r="F251" s="17">
        <f t="shared" si="1"/>
        <v>0.003635059894</v>
      </c>
    </row>
    <row r="252">
      <c r="A252" s="31">
        <v>44714.0</v>
      </c>
      <c r="B252" s="32">
        <v>0.019918129264490023</v>
      </c>
      <c r="C252" s="32">
        <v>-0.021372509823306386</v>
      </c>
      <c r="D252" s="32">
        <v>0.002690029165698259</v>
      </c>
      <c r="F252" s="17">
        <f t="shared" si="1"/>
        <v>0.0006396974986</v>
      </c>
    </row>
    <row r="253">
      <c r="A253" s="31">
        <v>44715.0</v>
      </c>
      <c r="B253" s="32">
        <v>0.009084848143236112</v>
      </c>
      <c r="C253" s="32">
        <v>-0.011439536880922337</v>
      </c>
      <c r="D253" s="32">
        <v>-0.022696392706779825</v>
      </c>
      <c r="F253" s="17">
        <f t="shared" si="1"/>
        <v>-0.009784963704</v>
      </c>
    </row>
    <row r="254">
      <c r="A254" s="31">
        <v>44718.0</v>
      </c>
      <c r="B254" s="32">
        <v>0.005487348537083503</v>
      </c>
      <c r="C254" s="32">
        <v>-0.011271415283267257</v>
      </c>
      <c r="D254" s="32">
        <v>0.031179988981786165</v>
      </c>
      <c r="F254" s="17">
        <f t="shared" si="1"/>
        <v>0.01073677557</v>
      </c>
    </row>
    <row r="255">
      <c r="A255" s="31">
        <v>44719.0</v>
      </c>
      <c r="B255" s="32">
        <v>-0.015261002746453223</v>
      </c>
      <c r="C255" s="32">
        <v>-0.004863979150728857</v>
      </c>
      <c r="D255" s="32">
        <v>-0.008957929107373778</v>
      </c>
      <c r="F255" s="17">
        <f t="shared" si="1"/>
        <v>-0.009620666212</v>
      </c>
    </row>
    <row r="256">
      <c r="A256" s="31">
        <v>44720.0</v>
      </c>
      <c r="B256" s="32">
        <v>-0.00444677189745263</v>
      </c>
      <c r="C256" s="32">
        <v>-0.01084471646534817</v>
      </c>
      <c r="D256" s="32">
        <v>-0.0010906280699248601</v>
      </c>
      <c r="F256" s="17">
        <f t="shared" si="1"/>
        <v>-0.005023697737</v>
      </c>
    </row>
    <row r="257">
      <c r="A257" s="31">
        <v>44721.0</v>
      </c>
      <c r="B257" s="32">
        <v>0.01</v>
      </c>
      <c r="C257" s="32">
        <v>0.0029339469895224802</v>
      </c>
      <c r="D257" s="32">
        <v>0.009832722002406863</v>
      </c>
      <c r="F257" s="17">
        <f t="shared" si="1"/>
        <v>0.007813272898</v>
      </c>
    </row>
    <row r="258">
      <c r="A258" s="31">
        <v>44722.0</v>
      </c>
      <c r="B258" s="32">
        <v>-0.02521448910891093</v>
      </c>
      <c r="C258" s="32">
        <v>-0.007467245573518044</v>
      </c>
      <c r="D258" s="32">
        <v>-0.010432872697070808</v>
      </c>
      <c r="F258" s="17">
        <f t="shared" si="1"/>
        <v>-0.01397766948</v>
      </c>
    </row>
    <row r="259">
      <c r="A259" s="31">
        <v>44725.0</v>
      </c>
      <c r="B259" s="32">
        <v>-0.03541444153893033</v>
      </c>
      <c r="C259" s="32">
        <v>-0.027922127247140223</v>
      </c>
      <c r="D259" s="32">
        <v>-0.016378242754897337</v>
      </c>
      <c r="F259" s="17">
        <f t="shared" si="1"/>
        <v>-0.02555226774</v>
      </c>
    </row>
    <row r="260">
      <c r="A260" s="31">
        <v>44726.0</v>
      </c>
      <c r="B260" s="32">
        <v>0.011267145665145625</v>
      </c>
      <c r="C260" s="32">
        <v>-0.00550548450948438</v>
      </c>
      <c r="D260" s="32">
        <v>-0.008892696761994801</v>
      </c>
      <c r="F260" s="17">
        <f t="shared" si="1"/>
        <v>-0.001828580358</v>
      </c>
    </row>
    <row r="261">
      <c r="A261" s="31">
        <v>44727.0</v>
      </c>
      <c r="B261" s="32">
        <v>-0.012738257870830761</v>
      </c>
      <c r="C261" s="32">
        <v>2.4063542540489306E-4</v>
      </c>
      <c r="D261" s="32">
        <v>-0.027078438966226474</v>
      </c>
      <c r="F261" s="17">
        <f t="shared" si="1"/>
        <v>-0.01458066232</v>
      </c>
    </row>
    <row r="262">
      <c r="A262" s="31">
        <v>44728.0</v>
      </c>
      <c r="B262" s="32">
        <v>-0.01757840026813501</v>
      </c>
      <c r="C262" s="32">
        <v>-0.03729846939145467</v>
      </c>
      <c r="D262" s="32">
        <v>-0.02055848008367161</v>
      </c>
      <c r="F262" s="17">
        <f t="shared" si="1"/>
        <v>-0.02468645293</v>
      </c>
    </row>
    <row r="263">
      <c r="A263" s="31">
        <v>44729.0</v>
      </c>
      <c r="B263" s="32">
        <v>-0.0070855298791805575</v>
      </c>
      <c r="C263" s="32">
        <v>-0.009581736760476058</v>
      </c>
      <c r="D263" s="32">
        <v>-0.02240390973305264</v>
      </c>
      <c r="F263" s="17">
        <f t="shared" si="1"/>
        <v>-0.01396174389</v>
      </c>
    </row>
    <row r="264">
      <c r="A264" s="31">
        <v>44732.0</v>
      </c>
      <c r="B264" s="32">
        <v>0.01935412243325026</v>
      </c>
      <c r="C264" s="32">
        <v>-0.03381841812339868</v>
      </c>
      <c r="D264" s="32">
        <v>-0.07142079945228202</v>
      </c>
      <c r="F264" s="17">
        <f t="shared" si="1"/>
        <v>-0.03290760849</v>
      </c>
    </row>
    <row r="265">
      <c r="A265" s="31">
        <v>44733.0</v>
      </c>
      <c r="B265" s="32">
        <v>0.025280203226867817</v>
      </c>
      <c r="C265" s="32">
        <v>0.044579845015237214</v>
      </c>
      <c r="D265" s="32">
        <v>0.040903670784570356</v>
      </c>
      <c r="F265" s="17">
        <f t="shared" si="1"/>
        <v>0.03731948279</v>
      </c>
    </row>
    <row r="266">
      <c r="A266" s="31">
        <v>44734.0</v>
      </c>
      <c r="B266" s="32">
        <v>-0.00872475604566238</v>
      </c>
      <c r="C266" s="32">
        <v>-0.01675416921246986</v>
      </c>
      <c r="D266" s="32">
        <v>-0.007852679197843857</v>
      </c>
      <c r="F266" s="17">
        <f t="shared" si="1"/>
        <v>-0.01078474926</v>
      </c>
    </row>
    <row r="267">
      <c r="A267" s="31">
        <v>44735.0</v>
      </c>
      <c r="B267" s="32">
        <v>0.010575718211862971</v>
      </c>
      <c r="C267" s="32">
        <v>-5.08626663451178E-4</v>
      </c>
      <c r="D267" s="32">
        <v>0.03947386085680003</v>
      </c>
      <c r="F267" s="17">
        <f t="shared" si="1"/>
        <v>0.01880967181</v>
      </c>
    </row>
    <row r="268">
      <c r="A268" s="31">
        <v>44736.0</v>
      </c>
      <c r="B268" s="32">
        <v>-0.007814365646255638</v>
      </c>
      <c r="C268" s="32">
        <v>0.011874469889737066</v>
      </c>
      <c r="D268" s="32">
        <v>8.089692744331696E-4</v>
      </c>
      <c r="F268" s="17">
        <f t="shared" si="1"/>
        <v>0.001541618983</v>
      </c>
    </row>
    <row r="269">
      <c r="A269" s="31">
        <v>44739.0</v>
      </c>
      <c r="B269" s="32">
        <v>0.02324613181452166</v>
      </c>
      <c r="C269" s="32">
        <v>0.027661357921207042</v>
      </c>
      <c r="D269" s="32">
        <v>0.02530679242270803</v>
      </c>
      <c r="F269" s="17">
        <f t="shared" si="1"/>
        <v>0.02539496389</v>
      </c>
    </row>
    <row r="270">
      <c r="A270" s="31">
        <v>44740.0</v>
      </c>
      <c r="B270" s="32">
        <v>0.003763765150095229</v>
      </c>
      <c r="C270" s="32">
        <v>0.011500796084828686</v>
      </c>
      <c r="D270" s="32">
        <v>0.0056434376654166335</v>
      </c>
      <c r="F270" s="17">
        <f t="shared" si="1"/>
        <v>0.006836743437</v>
      </c>
    </row>
    <row r="271">
      <c r="A271" s="31">
        <v>44741.0</v>
      </c>
      <c r="B271" s="32">
        <v>-0.011417777742778343</v>
      </c>
      <c r="C271" s="32">
        <v>-0.03048135531937137</v>
      </c>
      <c r="D271" s="32">
        <v>0.018620814434897496</v>
      </c>
      <c r="F271" s="17">
        <f t="shared" si="1"/>
        <v>-0.005121414145</v>
      </c>
    </row>
    <row r="272">
      <c r="A272" s="31">
        <v>44742.0</v>
      </c>
      <c r="B272" s="32">
        <v>-9.225873910814759E-4</v>
      </c>
      <c r="C272" s="32">
        <v>-0.0415038027179718</v>
      </c>
      <c r="D272" s="32">
        <v>-0.001930077850428165</v>
      </c>
      <c r="F272" s="17">
        <f t="shared" si="1"/>
        <v>-0.01349994817</v>
      </c>
    </row>
    <row r="273">
      <c r="A273" s="31">
        <v>44743.0</v>
      </c>
      <c r="B273" s="32">
        <v>0.011970722835147857</v>
      </c>
      <c r="C273" s="32">
        <v>0.005206525403543379</v>
      </c>
      <c r="D273" s="32">
        <v>-0.0022642295122757656</v>
      </c>
      <c r="F273" s="17">
        <f t="shared" si="1"/>
        <v>0.004247482667</v>
      </c>
    </row>
    <row r="274">
      <c r="A274" s="31">
        <v>44746.0</v>
      </c>
      <c r="B274" s="32">
        <v>0.005813151183239382</v>
      </c>
      <c r="C274" s="32">
        <v>-0.006560752626503717</v>
      </c>
      <c r="D274" s="32">
        <v>-0.00866652003974104</v>
      </c>
      <c r="F274" s="17">
        <f t="shared" si="1"/>
        <v>-0.003690888449</v>
      </c>
    </row>
    <row r="275">
      <c r="A275" s="31">
        <v>44747.0</v>
      </c>
      <c r="B275" s="32">
        <v>-0.008098151209677383</v>
      </c>
      <c r="C275" s="32">
        <v>-0.007907625669476963</v>
      </c>
      <c r="D275" s="32">
        <v>-0.009676505054606535</v>
      </c>
      <c r="F275" s="17">
        <f t="shared" si="1"/>
        <v>-0.008672335086</v>
      </c>
    </row>
    <row r="276">
      <c r="A276" s="31">
        <v>44748.0</v>
      </c>
      <c r="B276" s="32">
        <v>0.010637266520699233</v>
      </c>
      <c r="C276" s="32">
        <v>0.011298961673250583</v>
      </c>
      <c r="D276" s="32">
        <v>-0.0036672951175627136</v>
      </c>
      <c r="F276" s="17">
        <f t="shared" si="1"/>
        <v>0.005113950411</v>
      </c>
    </row>
    <row r="277">
      <c r="A277" s="31">
        <v>44749.0</v>
      </c>
      <c r="B277" s="32">
        <v>0.004726260776033095</v>
      </c>
      <c r="C277" s="32">
        <v>0.009267341263135529</v>
      </c>
      <c r="D277" s="32">
        <v>0.01367592852383218</v>
      </c>
      <c r="F277" s="17">
        <f t="shared" si="1"/>
        <v>0.009668452021</v>
      </c>
    </row>
    <row r="278">
      <c r="A278" s="31">
        <v>44750.0</v>
      </c>
      <c r="B278" s="32">
        <v>0.010509108237103024</v>
      </c>
      <c r="C278" s="32">
        <v>0.010898439437805583</v>
      </c>
      <c r="D278" s="32">
        <v>-0.011103688167385646</v>
      </c>
      <c r="F278" s="17">
        <f t="shared" si="1"/>
        <v>0.001980789036</v>
      </c>
    </row>
    <row r="279">
      <c r="A279" s="31">
        <v>44753.0</v>
      </c>
      <c r="B279" s="32">
        <v>-0.02727057897999828</v>
      </c>
      <c r="C279" s="32">
        <v>0.006621432937181715</v>
      </c>
      <c r="D279" s="32">
        <v>0.006611923790741875</v>
      </c>
      <c r="F279" s="17">
        <f t="shared" si="1"/>
        <v>-0.003549974297</v>
      </c>
    </row>
    <row r="280">
      <c r="A280" s="31">
        <v>44754.0</v>
      </c>
      <c r="B280" s="32">
        <v>-0.02345317682321815</v>
      </c>
      <c r="C280" s="32">
        <v>-0.0044695967156851224</v>
      </c>
      <c r="D280" s="32">
        <v>-0.010937111608252548</v>
      </c>
      <c r="F280" s="17">
        <f t="shared" si="1"/>
        <v>-0.0127516767</v>
      </c>
    </row>
    <row r="281">
      <c r="A281" s="31">
        <v>44755.0</v>
      </c>
      <c r="B281" s="32">
        <v>0.0040664361862884435</v>
      </c>
      <c r="C281" s="32">
        <v>0.0043201829733163655</v>
      </c>
      <c r="D281" s="32">
        <v>-0.030987697662729314</v>
      </c>
      <c r="F281" s="17">
        <f t="shared" si="1"/>
        <v>-0.009879093317</v>
      </c>
    </row>
    <row r="282">
      <c r="A282" s="31">
        <v>44756.0</v>
      </c>
      <c r="B282" s="32">
        <v>-0.010799941520438382</v>
      </c>
      <c r="C282" s="32">
        <v>-0.01197701778630935</v>
      </c>
      <c r="D282" s="32">
        <v>0.011431115506944116</v>
      </c>
      <c r="F282" s="17">
        <f t="shared" si="1"/>
        <v>-0.002260641589</v>
      </c>
    </row>
    <row r="283">
      <c r="A283" s="31">
        <v>44757.0</v>
      </c>
      <c r="B283" s="32">
        <v>0.0010497953075515886</v>
      </c>
      <c r="C283" s="32">
        <v>0.009475820191719553</v>
      </c>
      <c r="D283" s="32">
        <v>0.03346991807561132</v>
      </c>
      <c r="F283" s="17">
        <f t="shared" si="1"/>
        <v>0.01654565188</v>
      </c>
    </row>
    <row r="284">
      <c r="A284" s="31">
        <v>44760.0</v>
      </c>
      <c r="B284" s="32">
        <v>0.041633200964237345</v>
      </c>
      <c r="C284" s="32">
        <v>0.02156448202959831</v>
      </c>
      <c r="D284" s="32">
        <v>0.005390381171592984</v>
      </c>
      <c r="F284" s="17">
        <f t="shared" si="1"/>
        <v>0.02111545737</v>
      </c>
    </row>
    <row r="285">
      <c r="A285" s="31">
        <v>44761.0</v>
      </c>
      <c r="B285" s="32">
        <v>-0.003859319355242859</v>
      </c>
      <c r="C285" s="32">
        <v>0.006208609271523178</v>
      </c>
      <c r="D285" s="32">
        <v>-0.0030416771358921257</v>
      </c>
      <c r="F285" s="17">
        <f t="shared" si="1"/>
        <v>-0.0005118838795</v>
      </c>
    </row>
    <row r="286">
      <c r="A286" s="31">
        <v>44762.0</v>
      </c>
      <c r="B286" s="32">
        <v>0.020988461069485462</v>
      </c>
      <c r="C286" s="32">
        <v>6.582048539696098E-4</v>
      </c>
      <c r="D286" s="32">
        <v>0.004257729957330628</v>
      </c>
      <c r="F286" s="17">
        <f t="shared" si="1"/>
        <v>0.00819709176</v>
      </c>
    </row>
    <row r="287">
      <c r="A287" s="31">
        <v>44763.0</v>
      </c>
      <c r="B287" s="32">
        <v>0.011614844869578755</v>
      </c>
      <c r="C287" s="32">
        <v>-4.933782589147126E-4</v>
      </c>
      <c r="D287" s="32">
        <v>0.010167862405128804</v>
      </c>
      <c r="F287" s="17">
        <f t="shared" si="1"/>
        <v>0.007403584945</v>
      </c>
    </row>
    <row r="288">
      <c r="A288" s="31">
        <v>44764.0</v>
      </c>
      <c r="B288" s="32">
        <v>-0.01735271353874027</v>
      </c>
      <c r="C288" s="32">
        <v>0.003125810767491139</v>
      </c>
      <c r="D288" s="32">
        <v>0.023181192064752686</v>
      </c>
      <c r="F288" s="17">
        <f t="shared" si="1"/>
        <v>0.005004405995</v>
      </c>
    </row>
    <row r="289">
      <c r="A289" s="31">
        <v>44767.0</v>
      </c>
      <c r="B289" s="32">
        <v>-0.0017925200240101532</v>
      </c>
      <c r="C289" s="32">
        <v>-0.017138191061910644</v>
      </c>
      <c r="D289" s="32">
        <v>0.017063614386249412</v>
      </c>
      <c r="F289" s="17">
        <f t="shared" si="1"/>
        <v>0.001146232429</v>
      </c>
    </row>
    <row r="290">
      <c r="A290" s="31">
        <v>44768.0</v>
      </c>
      <c r="B290" s="32">
        <v>-0.03488291622585124</v>
      </c>
      <c r="C290" s="32">
        <v>-0.0054229936009943655</v>
      </c>
      <c r="D290" s="32">
        <v>-0.01970837084601797</v>
      </c>
      <c r="F290" s="17">
        <f t="shared" si="1"/>
        <v>-0.01997512129</v>
      </c>
    </row>
    <row r="291">
      <c r="A291" s="31">
        <v>44769.0</v>
      </c>
      <c r="B291" s="32">
        <v>0.013713278896655218</v>
      </c>
      <c r="C291" s="32">
        <v>0.008220827277325657</v>
      </c>
      <c r="D291" s="32">
        <v>0.014363865523417702</v>
      </c>
      <c r="F291" s="17">
        <f t="shared" si="1"/>
        <v>0.01232577806</v>
      </c>
    </row>
    <row r="292">
      <c r="A292" s="31">
        <v>44770.0</v>
      </c>
      <c r="B292" s="32">
        <v>0.03150808841038969</v>
      </c>
      <c r="C292" s="32">
        <v>0.0025792295017043527</v>
      </c>
      <c r="D292" s="32">
        <v>0.009267291411381358</v>
      </c>
      <c r="F292" s="17">
        <f t="shared" si="1"/>
        <v>0.01393311194</v>
      </c>
    </row>
    <row r="293">
      <c r="A293" s="31">
        <v>44771.0</v>
      </c>
      <c r="B293" s="32">
        <v>0.021286362520843104</v>
      </c>
      <c r="C293" s="32">
        <v>0.05742734605809124</v>
      </c>
      <c r="D293" s="32">
        <v>0.015192734228972028</v>
      </c>
      <c r="F293" s="17">
        <f t="shared" si="1"/>
        <v>0.02969120627</v>
      </c>
    </row>
    <row r="294">
      <c r="A294" s="31">
        <v>44774.0</v>
      </c>
      <c r="B294" s="32">
        <v>8.71199614563251E-4</v>
      </c>
      <c r="C294" s="32">
        <v>0.0075342146928601686</v>
      </c>
      <c r="D294" s="32">
        <v>0.003515492394810299</v>
      </c>
      <c r="F294" s="17">
        <f t="shared" si="1"/>
        <v>0.00392782125</v>
      </c>
    </row>
    <row r="295">
      <c r="A295" s="31">
        <v>44775.0</v>
      </c>
      <c r="B295" s="32">
        <v>-0.0048032447468753315</v>
      </c>
      <c r="C295" s="32">
        <v>0.009425125056546165</v>
      </c>
      <c r="D295" s="32">
        <v>-0.009041764618871493</v>
      </c>
      <c r="F295" s="17">
        <f t="shared" si="1"/>
        <v>-0.002230141755</v>
      </c>
    </row>
    <row r="296">
      <c r="A296" s="31">
        <v>44776.0</v>
      </c>
      <c r="B296" s="32">
        <v>0.014576315334174377</v>
      </c>
      <c r="C296" s="32">
        <v>-0.008951289285569123</v>
      </c>
      <c r="D296" s="32">
        <v>0.022975647872248164</v>
      </c>
      <c r="F296" s="17">
        <f t="shared" si="1"/>
        <v>0.01087776696</v>
      </c>
    </row>
    <row r="297">
      <c r="A297" s="31">
        <v>44777.0</v>
      </c>
      <c r="B297" s="32">
        <v>0.021582305419816993</v>
      </c>
      <c r="C297" s="32">
        <v>-0.00490543312663651</v>
      </c>
      <c r="D297" s="32">
        <v>0.013167018378060412</v>
      </c>
      <c r="F297" s="17">
        <f t="shared" si="1"/>
        <v>0.01026986904</v>
      </c>
    </row>
    <row r="298">
      <c r="A298" s="31">
        <v>44778.0</v>
      </c>
      <c r="B298" s="32">
        <v>0.010469404180720232</v>
      </c>
      <c r="C298" s="32">
        <v>0.0052425289514866505</v>
      </c>
      <c r="D298" s="32">
        <v>0.03928895757797567</v>
      </c>
      <c r="F298" s="17">
        <f t="shared" si="1"/>
        <v>0.02042916297</v>
      </c>
    </row>
    <row r="299">
      <c r="A299" s="31">
        <v>44781.0</v>
      </c>
      <c r="B299" s="32">
        <v>0.0017010484391642208</v>
      </c>
      <c r="C299" s="32">
        <v>0.02514209481343552</v>
      </c>
      <c r="D299" s="32">
        <v>0.026491695459924323</v>
      </c>
      <c r="F299" s="17">
        <f t="shared" si="1"/>
        <v>0.01864962116</v>
      </c>
    </row>
    <row r="300">
      <c r="A300" s="31">
        <v>44783.0</v>
      </c>
      <c r="B300" s="32">
        <v>-0.010466884493512874</v>
      </c>
      <c r="C300" s="32">
        <v>0.02224756871678061</v>
      </c>
      <c r="D300" s="32">
        <v>-0.009806199042175008</v>
      </c>
      <c r="F300" s="17">
        <f t="shared" si="1"/>
        <v>-0.0003882743499</v>
      </c>
    </row>
    <row r="301">
      <c r="A301" s="31">
        <v>44784.0</v>
      </c>
      <c r="B301" s="32">
        <v>0.010920777893299708</v>
      </c>
      <c r="C301" s="32">
        <v>-0.0045310077861633715</v>
      </c>
      <c r="D301" s="32">
        <v>0.003926480050731831</v>
      </c>
      <c r="F301" s="17">
        <f t="shared" si="1"/>
        <v>0.003487523052</v>
      </c>
    </row>
    <row r="302">
      <c r="A302" s="31">
        <v>44785.0</v>
      </c>
      <c r="B302" s="32">
        <v>-0.01595726768227797</v>
      </c>
      <c r="C302" s="32">
        <v>-0.005446894688442661</v>
      </c>
      <c r="D302" s="32">
        <v>0.07784257589905452</v>
      </c>
      <c r="F302" s="17">
        <f t="shared" si="1"/>
        <v>0.02471578165</v>
      </c>
    </row>
    <row r="303">
      <c r="A303" s="31">
        <v>44789.0</v>
      </c>
      <c r="B303" s="32">
        <v>0.001474170400464322</v>
      </c>
      <c r="C303" s="32">
        <v>0.002550846979353067</v>
      </c>
      <c r="D303" s="32">
        <v>0.03331198914791763</v>
      </c>
      <c r="F303" s="17">
        <f t="shared" si="1"/>
        <v>0.01453230087</v>
      </c>
    </row>
    <row r="304">
      <c r="A304" s="31">
        <v>44790.0</v>
      </c>
      <c r="B304" s="32">
        <v>0.006138650944779881</v>
      </c>
      <c r="C304" s="32">
        <v>0.005238344494918405</v>
      </c>
      <c r="D304" s="32">
        <v>0.010000925022956594</v>
      </c>
      <c r="F304" s="17">
        <f t="shared" si="1"/>
        <v>0.007413468641</v>
      </c>
    </row>
    <row r="305">
      <c r="A305" s="31">
        <v>44791.0</v>
      </c>
      <c r="B305" s="32">
        <v>-0.014505867081712028</v>
      </c>
      <c r="C305" s="32">
        <v>0.06327700213109796</v>
      </c>
      <c r="D305" s="32">
        <v>-0.006621493641587286</v>
      </c>
      <c r="F305" s="17">
        <f t="shared" si="1"/>
        <v>0.01198274306</v>
      </c>
    </row>
    <row r="306">
      <c r="A306" s="31">
        <v>44792.0</v>
      </c>
      <c r="B306" s="32">
        <v>0.008939022355735815</v>
      </c>
      <c r="C306" s="32">
        <v>0.02940558607332624</v>
      </c>
      <c r="D306" s="32">
        <v>-0.044789302345207296</v>
      </c>
      <c r="F306" s="17">
        <f t="shared" si="1"/>
        <v>-0.006412338409</v>
      </c>
    </row>
    <row r="307">
      <c r="A307" s="31">
        <v>44795.0</v>
      </c>
      <c r="B307" s="32">
        <v>-0.013430563097071852</v>
      </c>
      <c r="C307" s="32">
        <v>-0.03081007040815934</v>
      </c>
      <c r="D307" s="32">
        <v>-0.034525933177166866</v>
      </c>
      <c r="F307" s="17">
        <f t="shared" si="1"/>
        <v>-0.02708256332</v>
      </c>
    </row>
    <row r="308">
      <c r="A308" s="31">
        <v>44796.0</v>
      </c>
      <c r="B308" s="32">
        <v>-0.021102401861798212</v>
      </c>
      <c r="C308" s="32">
        <v>0.0034386133333333545</v>
      </c>
      <c r="D308" s="32">
        <v>-0.017361875592717492</v>
      </c>
      <c r="F308" s="17">
        <f t="shared" si="1"/>
        <v>-0.0122438868</v>
      </c>
    </row>
    <row r="309">
      <c r="A309" s="31">
        <v>44797.0</v>
      </c>
      <c r="B309" s="32">
        <v>-0.0031768827306501847</v>
      </c>
      <c r="C309" s="32">
        <v>0.013077803822737707</v>
      </c>
      <c r="D309" s="32">
        <v>0.025185185185185185</v>
      </c>
      <c r="F309" s="17">
        <f t="shared" si="1"/>
        <v>0.0130443504</v>
      </c>
    </row>
    <row r="310">
      <c r="A310" s="31">
        <v>44798.0</v>
      </c>
      <c r="B310" s="32">
        <v>-0.01258535024390242</v>
      </c>
      <c r="C310" s="32">
        <v>-0.010078680271909635</v>
      </c>
      <c r="D310" s="32">
        <v>-0.02072816053138619</v>
      </c>
      <c r="F310" s="17">
        <f t="shared" si="1"/>
        <v>-0.01509047337</v>
      </c>
    </row>
    <row r="311">
      <c r="A311" s="31">
        <v>44799.0</v>
      </c>
      <c r="B311" s="32">
        <v>0.0022395843271415146</v>
      </c>
      <c r="C311" s="32">
        <v>0.0023012887029289124</v>
      </c>
      <c r="D311" s="32">
        <v>-0.03185382240693881</v>
      </c>
      <c r="F311" s="17">
        <f t="shared" si="1"/>
        <v>-0.01137926705</v>
      </c>
    </row>
    <row r="312">
      <c r="A312" s="31">
        <v>44802.0</v>
      </c>
      <c r="B312" s="32">
        <v>-0.03930205847602713</v>
      </c>
      <c r="C312" s="32">
        <v>-0.03736176873765754</v>
      </c>
      <c r="D312" s="32">
        <v>-0.0511445492566049</v>
      </c>
      <c r="F312" s="17">
        <f t="shared" si="1"/>
        <v>-0.04345696787</v>
      </c>
    </row>
    <row r="313">
      <c r="A313" s="31">
        <v>44803.0</v>
      </c>
      <c r="B313" s="32">
        <v>0.02134424559603219</v>
      </c>
      <c r="C313" s="32">
        <v>0.027392327737363324</v>
      </c>
      <c r="D313" s="32">
        <v>0.016728994125820625</v>
      </c>
      <c r="F313" s="17">
        <f t="shared" si="1"/>
        <v>0.02131256965</v>
      </c>
    </row>
    <row r="314">
      <c r="A314" s="31">
        <v>44805.0</v>
      </c>
      <c r="B314" s="32">
        <v>-0.019257176023042718</v>
      </c>
      <c r="C314" s="32">
        <v>-0.005205785437917714</v>
      </c>
      <c r="D314" s="32">
        <v>1.1639604179954659E-4</v>
      </c>
      <c r="F314" s="17">
        <f t="shared" si="1"/>
        <v>-0.007292330022</v>
      </c>
    </row>
    <row r="315">
      <c r="A315" s="31">
        <v>44806.0</v>
      </c>
      <c r="B315" s="32">
        <v>-0.0076491950381167954</v>
      </c>
      <c r="C315" s="32">
        <v>0.007920282999849291</v>
      </c>
      <c r="D315" s="32">
        <v>-0.03470503328797069</v>
      </c>
      <c r="F315" s="17">
        <f t="shared" si="1"/>
        <v>-0.01380068693</v>
      </c>
    </row>
    <row r="316">
      <c r="A316" s="31">
        <v>44809.0</v>
      </c>
      <c r="B316" s="32">
        <v>0.005712353062629005</v>
      </c>
      <c r="C316" s="32">
        <v>-0.0024556232948362323</v>
      </c>
      <c r="D316" s="32">
        <v>0.019018588991932102</v>
      </c>
      <c r="F316" s="17">
        <f t="shared" si="1"/>
        <v>0.008584454527</v>
      </c>
    </row>
    <row r="317">
      <c r="A317" s="31">
        <v>44810.0</v>
      </c>
      <c r="B317" s="32">
        <v>-0.0042428473223160585</v>
      </c>
      <c r="C317" s="32">
        <v>-0.0036573862881175614</v>
      </c>
      <c r="D317" s="32">
        <v>-0.002975302767807945</v>
      </c>
      <c r="F317" s="17">
        <f t="shared" si="1"/>
        <v>-0.00356019119</v>
      </c>
    </row>
    <row r="318">
      <c r="A318" s="31">
        <v>44811.0</v>
      </c>
      <c r="B318" s="32">
        <v>0.0017524898921447449</v>
      </c>
      <c r="C318" s="32">
        <v>-0.002611853778543294</v>
      </c>
      <c r="D318" s="32">
        <v>-0.0037585697389437463</v>
      </c>
      <c r="F318" s="17">
        <f t="shared" si="1"/>
        <v>-0.001761237061</v>
      </c>
    </row>
    <row r="319">
      <c r="A319" s="31">
        <v>44812.0</v>
      </c>
      <c r="B319" s="32">
        <v>0.012520152093792302</v>
      </c>
      <c r="C319" s="32">
        <v>0.011819627515272758</v>
      </c>
      <c r="D319" s="32">
        <v>-0.005310194136580625</v>
      </c>
      <c r="F319" s="17">
        <f t="shared" si="1"/>
        <v>0.005177856228</v>
      </c>
    </row>
    <row r="320">
      <c r="A320" s="31">
        <v>44813.0</v>
      </c>
      <c r="B320" s="32">
        <v>0.024222507906131722</v>
      </c>
      <c r="C320" s="32">
        <v>-0.00419697824617199</v>
      </c>
      <c r="D320" s="32">
        <v>0.005749157208441422</v>
      </c>
      <c r="F320" s="17">
        <f t="shared" si="1"/>
        <v>0.008307321781</v>
      </c>
    </row>
    <row r="321">
      <c r="A321" s="31">
        <v>44816.0</v>
      </c>
      <c r="B321" s="32">
        <v>0.016240483319702594</v>
      </c>
      <c r="C321" s="32">
        <v>0.013346445855798469</v>
      </c>
      <c r="D321" s="32">
        <v>0.0077806673075524885</v>
      </c>
      <c r="F321" s="17">
        <f t="shared" si="1"/>
        <v>0.01198834568</v>
      </c>
    </row>
    <row r="322">
      <c r="A322" s="31">
        <v>44817.0</v>
      </c>
      <c r="B322" s="32">
        <v>0.00569587311489245</v>
      </c>
      <c r="C322" s="32">
        <v>-0.0018715874427547748</v>
      </c>
      <c r="D322" s="32">
        <v>0.02293647950928903</v>
      </c>
      <c r="F322" s="17">
        <f t="shared" si="1"/>
        <v>0.01032187751</v>
      </c>
    </row>
    <row r="323">
      <c r="A323" s="31">
        <v>44818.0</v>
      </c>
      <c r="B323" s="32">
        <v>-0.04501759228833428</v>
      </c>
      <c r="C323" s="32">
        <v>-0.009861845797149658</v>
      </c>
      <c r="D323" s="32">
        <v>-0.019198608926668054</v>
      </c>
      <c r="F323" s="17">
        <f t="shared" si="1"/>
        <v>-0.024143275</v>
      </c>
    </row>
    <row r="324">
      <c r="A324" s="31">
        <v>44819.0</v>
      </c>
      <c r="B324" s="32">
        <v>-0.02887350840926927</v>
      </c>
      <c r="C324" s="32">
        <v>0.01613242671975625</v>
      </c>
      <c r="D324" s="32">
        <v>-0.003303554169608218</v>
      </c>
      <c r="F324" s="17">
        <f t="shared" si="1"/>
        <v>-0.005143746175</v>
      </c>
    </row>
    <row r="325">
      <c r="A325" s="31">
        <v>44820.0</v>
      </c>
      <c r="B325" s="32">
        <v>-0.038909825581671234</v>
      </c>
      <c r="C325" s="32">
        <v>-0.029474669299913072</v>
      </c>
      <c r="D325" s="32">
        <v>-0.01743903604287999</v>
      </c>
      <c r="F325" s="17">
        <f t="shared" si="1"/>
        <v>-0.02749096288</v>
      </c>
    </row>
    <row r="326">
      <c r="A326" s="31">
        <v>44823.0</v>
      </c>
      <c r="B326" s="32">
        <v>0.009622017739748833</v>
      </c>
      <c r="C326" s="32">
        <v>-0.015647226173541962</v>
      </c>
      <c r="D326" s="32">
        <v>-0.0038829610388163914</v>
      </c>
      <c r="F326" s="17">
        <f t="shared" si="1"/>
        <v>-0.003360746946</v>
      </c>
    </row>
    <row r="327">
      <c r="A327" s="31">
        <v>44824.0</v>
      </c>
      <c r="B327" s="32">
        <v>-0.0012587210949598405</v>
      </c>
      <c r="C327" s="32">
        <v>0.020448011560693685</v>
      </c>
      <c r="D327" s="32">
        <v>0.02359015279612847</v>
      </c>
      <c r="F327" s="17">
        <f t="shared" si="1"/>
        <v>0.01519284826</v>
      </c>
    </row>
    <row r="328">
      <c r="A328" s="31">
        <v>44825.0</v>
      </c>
      <c r="B328" s="32">
        <v>-0.008138020669934055</v>
      </c>
      <c r="C328" s="32">
        <v>-0.008213620056465594</v>
      </c>
      <c r="D328" s="32">
        <v>-0.009442154101389152</v>
      </c>
      <c r="F328" s="17">
        <f t="shared" si="1"/>
        <v>-0.008682353858</v>
      </c>
    </row>
    <row r="329">
      <c r="A329" s="31">
        <v>44826.0</v>
      </c>
      <c r="B329" s="32">
        <v>-0.006752622254492608</v>
      </c>
      <c r="C329" s="32">
        <v>7.853901889761194E-4</v>
      </c>
      <c r="D329" s="32">
        <v>0.019637129685284856</v>
      </c>
      <c r="F329" s="17">
        <f t="shared" si="1"/>
        <v>0.006064682254</v>
      </c>
    </row>
    <row r="330">
      <c r="A330" s="31">
        <v>44827.0</v>
      </c>
      <c r="B330" s="32">
        <v>-0.001827552242077605</v>
      </c>
      <c r="C330" s="32">
        <v>-0.021543780115493398</v>
      </c>
      <c r="D330" s="32">
        <v>-0.014854407211038716</v>
      </c>
      <c r="F330" s="17">
        <f t="shared" si="1"/>
        <v>-0.01295316259</v>
      </c>
    </row>
    <row r="331">
      <c r="A331" s="31">
        <v>44830.0</v>
      </c>
      <c r="B331" s="32">
        <v>0.010838953847529153</v>
      </c>
      <c r="C331" s="32">
        <v>-0.031058600718435688</v>
      </c>
      <c r="D331" s="32">
        <v>-0.03638886522993378</v>
      </c>
      <c r="F331" s="17">
        <f t="shared" si="1"/>
        <v>-0.02062144015</v>
      </c>
    </row>
    <row r="332">
      <c r="A332" s="31">
        <v>44831.0</v>
      </c>
      <c r="B332" s="32">
        <v>0.00963597101974276</v>
      </c>
      <c r="C332" s="32">
        <v>0.01828446049661404</v>
      </c>
      <c r="D332" s="32">
        <v>-0.023240101060577965</v>
      </c>
      <c r="F332" s="17">
        <f t="shared" si="1"/>
        <v>-0.0009199109693</v>
      </c>
    </row>
    <row r="333">
      <c r="A333" s="31">
        <v>44832.0</v>
      </c>
      <c r="B333" s="32">
        <v>8.251601733466776E-4</v>
      </c>
      <c r="C333" s="32">
        <v>0.005098576631395995</v>
      </c>
      <c r="D333" s="32">
        <v>0.010316141521673183</v>
      </c>
      <c r="F333" s="17">
        <f t="shared" si="1"/>
        <v>0.00590357765</v>
      </c>
    </row>
    <row r="334">
      <c r="A334" s="31">
        <v>44833.0</v>
      </c>
      <c r="B334" s="32">
        <v>0.0028322027237240323</v>
      </c>
      <c r="C334" s="32">
        <v>0.03955304359546108</v>
      </c>
      <c r="D334" s="32">
        <v>7.30121741016878E-4</v>
      </c>
      <c r="F334" s="17">
        <f t="shared" si="1"/>
        <v>0.01300762259</v>
      </c>
    </row>
    <row r="335">
      <c r="A335" s="31">
        <v>44834.0</v>
      </c>
      <c r="B335" s="32">
        <v>0.010581579913518113</v>
      </c>
      <c r="C335" s="32">
        <v>-0.0014144271570014145</v>
      </c>
      <c r="D335" s="32">
        <v>0.015168662877695683</v>
      </c>
      <c r="F335" s="17">
        <f t="shared" si="1"/>
        <v>0.008817610978</v>
      </c>
    </row>
    <row r="336">
      <c r="A336" s="31">
        <v>44837.0</v>
      </c>
      <c r="B336" s="32">
        <v>-0.013937494557952023</v>
      </c>
      <c r="C336" s="32">
        <v>2.124985835694481E-4</v>
      </c>
      <c r="D336" s="32">
        <v>-0.028510677844248173</v>
      </c>
      <c r="F336" s="17">
        <f t="shared" si="1"/>
        <v>-0.01552176993</v>
      </c>
    </row>
    <row r="337">
      <c r="A337" s="31">
        <v>44838.0</v>
      </c>
      <c r="B337" s="32">
        <v>0.025578492556053833</v>
      </c>
      <c r="C337" s="32">
        <v>0.01855126468139859</v>
      </c>
      <c r="D337" s="32">
        <v>0.021269149473684277</v>
      </c>
      <c r="F337" s="17">
        <f t="shared" si="1"/>
        <v>0.02174658696</v>
      </c>
    </row>
    <row r="338">
      <c r="A338" s="31">
        <v>44840.0</v>
      </c>
      <c r="B338" s="32">
        <v>0.018014551257626115</v>
      </c>
      <c r="C338" s="32">
        <v>0.016684045881126174</v>
      </c>
      <c r="D338" s="32">
        <v>0.010207012591187298</v>
      </c>
      <c r="F338" s="17">
        <f t="shared" si="1"/>
        <v>0.01449238418</v>
      </c>
    </row>
    <row r="339">
      <c r="A339" s="31">
        <v>44841.0</v>
      </c>
      <c r="B339" s="32">
        <v>-0.0027145469091508427</v>
      </c>
      <c r="C339" s="32">
        <v>0.00547008547008547</v>
      </c>
      <c r="D339" s="32">
        <v>-0.0030201189851941394</v>
      </c>
      <c r="F339" s="17">
        <f t="shared" si="1"/>
        <v>-0.0003813860258</v>
      </c>
    </row>
    <row r="340">
      <c r="A340" s="31">
        <v>44844.0</v>
      </c>
      <c r="B340" s="32">
        <v>0.007890072620323547</v>
      </c>
      <c r="C340" s="32">
        <v>-0.0055083141788507105</v>
      </c>
      <c r="D340" s="32">
        <v>0.003994174394168793</v>
      </c>
      <c r="F340" s="17">
        <f t="shared" si="1"/>
        <v>0.00231219729</v>
      </c>
    </row>
    <row r="341">
      <c r="A341" s="31">
        <v>44845.0</v>
      </c>
      <c r="B341" s="32">
        <v>-0.026561360792074266</v>
      </c>
      <c r="C341" s="32">
        <v>-0.007658692434485416</v>
      </c>
      <c r="D341" s="32">
        <v>-0.008655413703338057</v>
      </c>
      <c r="F341" s="17">
        <f t="shared" si="1"/>
        <v>-0.01372818145</v>
      </c>
    </row>
    <row r="342">
      <c r="A342" s="31">
        <v>44846.0</v>
      </c>
      <c r="B342" s="32">
        <v>0.0034414256436088317</v>
      </c>
      <c r="C342" s="32">
        <v>-0.004547943921100661</v>
      </c>
      <c r="D342" s="32">
        <v>-0.017538395650064903</v>
      </c>
      <c r="F342" s="17">
        <f t="shared" si="1"/>
        <v>-0.007347313743</v>
      </c>
    </row>
    <row r="343">
      <c r="A343" s="31">
        <v>44847.0</v>
      </c>
      <c r="B343" s="32">
        <v>-0.006159394765738341</v>
      </c>
      <c r="C343" s="32">
        <v>0.002492022746648564</v>
      </c>
      <c r="D343" s="32">
        <v>-0.005717352091585436</v>
      </c>
      <c r="F343" s="17">
        <f t="shared" si="1"/>
        <v>-0.003387152442</v>
      </c>
    </row>
    <row r="344">
      <c r="A344" s="31">
        <v>44848.0</v>
      </c>
      <c r="B344" s="32">
        <v>0.03827732592530752</v>
      </c>
      <c r="C344" s="32">
        <v>-0.001726280957644998</v>
      </c>
      <c r="D344" s="32">
        <v>0.01836917581603752</v>
      </c>
      <c r="F344" s="17">
        <f t="shared" si="1"/>
        <v>0.01831298382</v>
      </c>
    </row>
    <row r="345">
      <c r="A345" s="31">
        <v>44851.0</v>
      </c>
      <c r="B345" s="32">
        <v>0.010649449550618997</v>
      </c>
      <c r="C345" s="32">
        <v>0.007124609768265428</v>
      </c>
      <c r="D345" s="32">
        <v>-0.08065040259957468</v>
      </c>
      <c r="F345" s="17">
        <f t="shared" si="1"/>
        <v>-0.02692794324</v>
      </c>
    </row>
    <row r="346">
      <c r="A346" s="31">
        <v>44852.0</v>
      </c>
      <c r="B346" s="32">
        <v>0.009228497904088324</v>
      </c>
      <c r="C346" s="32">
        <v>0.004326956043956086</v>
      </c>
      <c r="D346" s="32">
        <v>-0.07428559355061036</v>
      </c>
      <c r="F346" s="17">
        <f t="shared" si="1"/>
        <v>-0.02564760124</v>
      </c>
    </row>
    <row r="347">
      <c r="A347" s="31">
        <v>44853.0</v>
      </c>
      <c r="B347" s="32">
        <v>-0.012136729796302294</v>
      </c>
      <c r="C347" s="32">
        <v>0.0159337531526908</v>
      </c>
      <c r="D347" s="32">
        <v>0.015205498461429644</v>
      </c>
      <c r="F347" s="17">
        <f t="shared" si="1"/>
        <v>0.007221306391</v>
      </c>
    </row>
    <row r="348">
      <c r="A348" s="31">
        <v>44854.0</v>
      </c>
      <c r="B348" s="32">
        <v>0.010400938106059405</v>
      </c>
      <c r="C348" s="32">
        <v>-2.0189014865729167E-4</v>
      </c>
      <c r="D348" s="32">
        <v>0.008278390444028534</v>
      </c>
      <c r="F348" s="17">
        <f t="shared" si="1"/>
        <v>0.006371070565</v>
      </c>
    </row>
    <row r="349">
      <c r="A349" s="31">
        <v>44855.0</v>
      </c>
      <c r="B349" s="32">
        <v>-2.665227487530711E-4</v>
      </c>
      <c r="C349" s="32">
        <v>0.0012118278743904738</v>
      </c>
      <c r="D349" s="32">
        <v>-0.015383598766059913</v>
      </c>
      <c r="F349" s="17">
        <f t="shared" si="1"/>
        <v>-0.005869847969</v>
      </c>
    </row>
    <row r="350">
      <c r="A350" s="31">
        <v>44858.0</v>
      </c>
      <c r="B350" s="32">
        <v>0.01156279640119958</v>
      </c>
      <c r="C350" s="32">
        <v>3.362248726174413E-4</v>
      </c>
      <c r="D350" s="32">
        <v>0.006610386747417875</v>
      </c>
      <c r="F350" s="17">
        <f t="shared" si="1"/>
        <v>0.006213861081</v>
      </c>
    </row>
    <row r="351">
      <c r="A351" s="31">
        <v>44859.0</v>
      </c>
      <c r="B351" s="32">
        <v>0.005567133203947143</v>
      </c>
      <c r="C351" s="32">
        <v>-0.004571072942797566</v>
      </c>
      <c r="D351" s="32">
        <v>-0.01681418279161687</v>
      </c>
      <c r="F351" s="17">
        <f t="shared" si="1"/>
        <v>-0.006426855038</v>
      </c>
    </row>
    <row r="352">
      <c r="A352" s="31">
        <v>44861.0</v>
      </c>
      <c r="B352" s="32">
        <v>-0.001539735258175235</v>
      </c>
      <c r="C352" s="32">
        <v>0.001147995640799668</v>
      </c>
      <c r="D352" s="32">
        <v>-0.02272345071619982</v>
      </c>
      <c r="F352" s="17">
        <f t="shared" si="1"/>
        <v>-0.009206902172</v>
      </c>
    </row>
    <row r="353">
      <c r="A353" s="31">
        <v>44862.0</v>
      </c>
      <c r="B353" s="32">
        <v>-0.007021195803037271</v>
      </c>
      <c r="C353" s="32">
        <v>-0.002495751770657632</v>
      </c>
      <c r="D353" s="32">
        <v>-0.021002121277184167</v>
      </c>
      <c r="F353" s="17">
        <f t="shared" si="1"/>
        <v>-0.01125593278</v>
      </c>
    </row>
    <row r="354">
      <c r="A354" s="31">
        <v>44865.0</v>
      </c>
      <c r="B354" s="32">
        <v>0.016124251775978874</v>
      </c>
      <c r="C354" s="32">
        <v>0.002434389966965953</v>
      </c>
      <c r="D354" s="32">
        <v>0.017489382495497197</v>
      </c>
      <c r="F354" s="17">
        <f t="shared" si="1"/>
        <v>0.01256334552</v>
      </c>
    </row>
    <row r="355">
      <c r="A355" s="31">
        <v>44866.0</v>
      </c>
      <c r="B355" s="32">
        <v>0.02298961106119683</v>
      </c>
      <c r="C355" s="32">
        <v>0.0014166054816523463</v>
      </c>
      <c r="D355" s="32">
        <v>-0.005724864375160063</v>
      </c>
      <c r="F355" s="17">
        <f t="shared" si="1"/>
        <v>0.005031919213</v>
      </c>
    </row>
    <row r="356">
      <c r="A356" s="31">
        <v>44867.0</v>
      </c>
      <c r="B356" s="32">
        <v>-0.01252380864589959</v>
      </c>
      <c r="C356" s="32">
        <v>0.017783781744695203</v>
      </c>
      <c r="D356" s="32">
        <v>-0.0018113819191493108</v>
      </c>
      <c r="F356" s="17">
        <f t="shared" si="1"/>
        <v>0.000853439162</v>
      </c>
    </row>
    <row r="357">
      <c r="A357" s="31">
        <v>44868.0</v>
      </c>
      <c r="B357" s="32">
        <v>-0.014517510003632238</v>
      </c>
      <c r="C357" s="32">
        <v>-0.005361027117172095</v>
      </c>
      <c r="D357" s="32">
        <v>-0.007280546661524029</v>
      </c>
      <c r="F357" s="17">
        <f t="shared" si="1"/>
        <v>-0.008875779801</v>
      </c>
    </row>
    <row r="358">
      <c r="A358" s="31">
        <v>44869.0</v>
      </c>
      <c r="B358" s="32">
        <v>-0.010942348521966357</v>
      </c>
      <c r="C358" s="32">
        <v>0.009448996237987835</v>
      </c>
      <c r="D358" s="32">
        <v>0.0022342499936825514</v>
      </c>
      <c r="F358" s="17">
        <f t="shared" si="1"/>
        <v>0.0004456943123</v>
      </c>
    </row>
    <row r="359">
      <c r="A359" s="31">
        <v>44872.0</v>
      </c>
      <c r="B359" s="32">
        <v>-0.004326320343460994</v>
      </c>
      <c r="C359" s="32">
        <v>0.007119346077785142</v>
      </c>
      <c r="D359" s="32">
        <v>0.009901548473274319</v>
      </c>
      <c r="F359" s="17">
        <f t="shared" si="1"/>
        <v>0.00479852711</v>
      </c>
    </row>
    <row r="360">
      <c r="A360" s="31">
        <v>44874.0</v>
      </c>
      <c r="B360" s="32">
        <v>0.0024876447788613845</v>
      </c>
      <c r="C360" s="32">
        <v>-0.0034690717590552533</v>
      </c>
      <c r="D360" s="32">
        <v>0.0033039446073189734</v>
      </c>
      <c r="F360" s="17">
        <f t="shared" si="1"/>
        <v>0.001027149749</v>
      </c>
    </row>
    <row r="361">
      <c r="A361" s="31">
        <v>44875.0</v>
      </c>
      <c r="B361" s="32">
        <v>-0.006120963671206472</v>
      </c>
      <c r="C361" s="32">
        <v>-0.022068949753694563</v>
      </c>
      <c r="D361" s="32">
        <v>-0.010543582398742717</v>
      </c>
      <c r="F361" s="17">
        <f t="shared" si="1"/>
        <v>-0.01267440699</v>
      </c>
    </row>
    <row r="362">
      <c r="A362" s="31">
        <v>44876.0</v>
      </c>
      <c r="B362" s="32">
        <v>0.045374364807978816</v>
      </c>
      <c r="C362" s="32">
        <v>0.004499934107059924</v>
      </c>
      <c r="D362" s="32">
        <v>0.005313514007806347</v>
      </c>
      <c r="F362" s="17">
        <f t="shared" si="1"/>
        <v>0.01708769528</v>
      </c>
    </row>
    <row r="363">
      <c r="A363" s="31">
        <v>44879.0</v>
      </c>
      <c r="B363" s="32">
        <v>0.009680958685652497</v>
      </c>
      <c r="C363" s="32">
        <v>0.014709815694728253</v>
      </c>
      <c r="D363" s="32">
        <v>0.0018312387791741473</v>
      </c>
      <c r="F363" s="17">
        <f t="shared" si="1"/>
        <v>0.008049727826</v>
      </c>
    </row>
    <row r="364">
      <c r="A364" s="31">
        <v>44880.0</v>
      </c>
      <c r="B364" s="32">
        <v>0.005487889188856044</v>
      </c>
      <c r="C364" s="32">
        <v>-0.023919299271259287</v>
      </c>
      <c r="D364" s="32">
        <v>0.003641432493459032</v>
      </c>
      <c r="F364" s="17">
        <f t="shared" si="1"/>
        <v>-0.004072850027</v>
      </c>
    </row>
    <row r="365">
      <c r="A365" s="31">
        <v>44881.0</v>
      </c>
      <c r="B365" s="32">
        <v>0.005520733375156803</v>
      </c>
      <c r="C365" s="32">
        <v>-0.01687706689387753</v>
      </c>
      <c r="D365" s="32">
        <v>-0.007756394729079</v>
      </c>
      <c r="F365" s="17">
        <f t="shared" si="1"/>
        <v>-0.006509457947</v>
      </c>
    </row>
    <row r="366">
      <c r="A366" s="31">
        <v>44882.0</v>
      </c>
      <c r="B366" s="32">
        <v>-0.00960820097903548</v>
      </c>
      <c r="C366" s="32">
        <v>-0.002334700190849702</v>
      </c>
      <c r="D366" s="32">
        <v>-0.01484951111659324</v>
      </c>
      <c r="F366" s="17">
        <f t="shared" si="1"/>
        <v>-0.009522674798</v>
      </c>
    </row>
    <row r="367">
      <c r="A367" s="31">
        <v>44883.0</v>
      </c>
      <c r="B367" s="32">
        <v>0.003779765597382906</v>
      </c>
      <c r="C367" s="32">
        <v>-0.011494302239752795</v>
      </c>
      <c r="D367" s="32">
        <v>0.007511091526674171</v>
      </c>
      <c r="F367" s="17">
        <f t="shared" si="1"/>
        <v>0.000690075618</v>
      </c>
    </row>
    <row r="368">
      <c r="A368" s="31">
        <v>44886.0</v>
      </c>
      <c r="B368" s="32">
        <v>-0.015815283431927434</v>
      </c>
      <c r="C368" s="32">
        <v>-0.003551020867879802</v>
      </c>
      <c r="D368" s="32">
        <v>-0.0056348587949676164</v>
      </c>
      <c r="F368" s="17">
        <f t="shared" si="1"/>
        <v>-0.008063834808</v>
      </c>
    </row>
    <row r="369">
      <c r="A369" s="31">
        <v>44887.0</v>
      </c>
      <c r="B369" s="32">
        <v>0.010744865786569514</v>
      </c>
      <c r="C369" s="32">
        <v>-5.589602497484137E-4</v>
      </c>
      <c r="D369" s="32">
        <v>-0.00423002589067571</v>
      </c>
      <c r="F369" s="17">
        <f t="shared" si="1"/>
        <v>0.001363761305</v>
      </c>
    </row>
    <row r="370">
      <c r="A370" s="31">
        <v>44888.0</v>
      </c>
      <c r="B370" s="32">
        <v>-0.0011987160917717584</v>
      </c>
      <c r="C370" s="32">
        <v>0.009298697863149278</v>
      </c>
      <c r="D370" s="32">
        <v>-0.013762067601713897</v>
      </c>
      <c r="F370" s="17">
        <f t="shared" si="1"/>
        <v>-0.003074832509</v>
      </c>
    </row>
    <row r="371">
      <c r="A371" s="31">
        <v>44889.0</v>
      </c>
      <c r="B371" s="32">
        <v>0.029466585157945785</v>
      </c>
      <c r="C371" s="32">
        <v>0.0024244943600636357</v>
      </c>
      <c r="D371" s="32">
        <v>-0.016991430951955884</v>
      </c>
      <c r="F371" s="17">
        <f t="shared" si="1"/>
        <v>0.002770751475</v>
      </c>
    </row>
    <row r="372">
      <c r="A372" s="31">
        <v>44890.0</v>
      </c>
      <c r="B372" s="32">
        <v>0.0035893820248621713</v>
      </c>
      <c r="C372" s="32">
        <v>-0.0025568046861745917</v>
      </c>
      <c r="D372" s="32">
        <v>0.024409267404827215</v>
      </c>
      <c r="F372" s="17">
        <f t="shared" si="1"/>
        <v>0.01007348016</v>
      </c>
    </row>
    <row r="373">
      <c r="A373" s="31">
        <v>44893.0</v>
      </c>
      <c r="B373" s="32">
        <v>-0.007489377201879954</v>
      </c>
      <c r="C373" s="32">
        <v>0.005819609159158522</v>
      </c>
      <c r="D373" s="32">
        <v>0.00250739305025234</v>
      </c>
      <c r="F373" s="17">
        <f t="shared" si="1"/>
        <v>0.0005020268073</v>
      </c>
    </row>
    <row r="374">
      <c r="A374" s="31">
        <v>44894.0</v>
      </c>
      <c r="B374" s="32">
        <v>0.0034803652312868968</v>
      </c>
      <c r="C374" s="32">
        <v>-0.003995073569525092</v>
      </c>
      <c r="D374" s="32">
        <v>-0.0022363257878779187</v>
      </c>
      <c r="F374" s="17">
        <f t="shared" si="1"/>
        <v>-0.001048942817</v>
      </c>
    </row>
    <row r="375">
      <c r="A375" s="31">
        <v>44895.0</v>
      </c>
      <c r="B375" s="32">
        <v>0.0036216824667982383</v>
      </c>
      <c r="C375" s="32">
        <v>0.018257278008298777</v>
      </c>
      <c r="D375" s="32">
        <v>0.03369336823091385</v>
      </c>
      <c r="F375" s="17">
        <f t="shared" si="1"/>
        <v>0.02004103543</v>
      </c>
    </row>
    <row r="376">
      <c r="A376" s="31">
        <v>44896.0</v>
      </c>
      <c r="B376" s="32">
        <v>0.013547830614907864</v>
      </c>
      <c r="C376" s="32">
        <v>-0.005772887708130056</v>
      </c>
      <c r="D376" s="32">
        <v>0.008758589493955296</v>
      </c>
      <c r="F376" s="17">
        <f t="shared" si="1"/>
        <v>0.00583591867</v>
      </c>
    </row>
    <row r="377">
      <c r="A377" s="31">
        <v>44897.0</v>
      </c>
      <c r="B377" s="32">
        <v>-0.011586477749125221</v>
      </c>
      <c r="C377" s="32">
        <v>-0.0025275441897254117</v>
      </c>
      <c r="D377" s="32">
        <v>-0.005331104837265424</v>
      </c>
      <c r="F377" s="17">
        <f t="shared" si="1"/>
        <v>-0.006366648517</v>
      </c>
    </row>
    <row r="378">
      <c r="A378" s="31">
        <v>44900.0</v>
      </c>
      <c r="B378" s="32">
        <v>0.0011294804157106293</v>
      </c>
      <c r="C378" s="32">
        <v>-0.0013696754319575542</v>
      </c>
      <c r="D378" s="32">
        <v>-0.01031430291496402</v>
      </c>
      <c r="F378" s="17">
        <f t="shared" si="1"/>
        <v>-0.004197779671</v>
      </c>
    </row>
    <row r="379">
      <c r="A379" s="31">
        <v>44901.0</v>
      </c>
      <c r="B379" s="32">
        <v>-0.016374432687909724</v>
      </c>
      <c r="C379" s="32">
        <v>-0.01735010892388228</v>
      </c>
      <c r="D379" s="32">
        <v>-0.011025081317042258</v>
      </c>
      <c r="F379" s="17">
        <f t="shared" si="1"/>
        <v>-0.01452739501</v>
      </c>
    </row>
    <row r="380">
      <c r="A380" s="31">
        <v>44902.0</v>
      </c>
      <c r="B380" s="32">
        <v>-0.004588023987778197</v>
      </c>
      <c r="C380" s="32">
        <v>0.0011863716738970053</v>
      </c>
      <c r="D380" s="32">
        <v>-0.006964726991574446</v>
      </c>
      <c r="F380" s="17">
        <f t="shared" si="1"/>
        <v>-0.003806386491</v>
      </c>
    </row>
    <row r="381">
      <c r="A381" s="31">
        <v>44903.0</v>
      </c>
      <c r="B381" s="32">
        <v>0.009124898162566198</v>
      </c>
      <c r="C381" s="32">
        <v>0.004670341636754698</v>
      </c>
      <c r="D381" s="32">
        <v>-9.288248451562325E-4</v>
      </c>
      <c r="F381" s="17">
        <f t="shared" si="1"/>
        <v>0.003767042002</v>
      </c>
    </row>
    <row r="382">
      <c r="A382" s="31">
        <v>44904.0</v>
      </c>
      <c r="B382" s="32">
        <v>-0.031385966883768095</v>
      </c>
      <c r="C382" s="32">
        <v>0.0020814541733783385</v>
      </c>
      <c r="D382" s="32">
        <v>-0.012385909475529184</v>
      </c>
      <c r="F382" s="17">
        <f t="shared" si="1"/>
        <v>-0.0137457176</v>
      </c>
    </row>
    <row r="383">
      <c r="A383" s="31">
        <v>44907.0</v>
      </c>
      <c r="B383" s="32">
        <v>-0.014082774045717174</v>
      </c>
      <c r="C383" s="32">
        <v>0.0024233191744656092</v>
      </c>
      <c r="D383" s="32">
        <v>-0.007930919467813068</v>
      </c>
      <c r="F383" s="17">
        <f t="shared" si="1"/>
        <v>-0.006670204249</v>
      </c>
    </row>
    <row r="384">
      <c r="A384" s="31">
        <v>44908.0</v>
      </c>
      <c r="B384" s="32">
        <v>0.016125952553109908</v>
      </c>
      <c r="C384" s="32">
        <v>-0.0014505428445738809</v>
      </c>
      <c r="D384" s="32">
        <v>-0.008913280585752192</v>
      </c>
      <c r="F384" s="17">
        <f t="shared" si="1"/>
        <v>0.0008373106783</v>
      </c>
    </row>
    <row r="385">
      <c r="A385" s="31">
        <v>44909.0</v>
      </c>
      <c r="B385" s="32">
        <v>0.00461151918667019</v>
      </c>
      <c r="C385" s="32">
        <v>0.01667019215616611</v>
      </c>
      <c r="D385" s="32">
        <v>-0.0017187683309049608</v>
      </c>
      <c r="F385" s="17">
        <f t="shared" si="1"/>
        <v>0.00569700607</v>
      </c>
    </row>
    <row r="386">
      <c r="A386" s="31">
        <v>44910.0</v>
      </c>
      <c r="B386" s="32">
        <v>-0.024629621000942844</v>
      </c>
      <c r="C386" s="32">
        <v>-0.06238948768900849</v>
      </c>
      <c r="D386" s="32">
        <v>-0.010700491589652117</v>
      </c>
      <c r="F386" s="17">
        <f t="shared" si="1"/>
        <v>-0.03038592924</v>
      </c>
    </row>
    <row r="387">
      <c r="A387" s="31">
        <v>44911.0</v>
      </c>
      <c r="B387" s="32">
        <v>-0.01187929178838036</v>
      </c>
      <c r="C387" s="32">
        <v>-0.024526470204364846</v>
      </c>
      <c r="D387" s="32">
        <v>-0.018464691839437584</v>
      </c>
      <c r="F387" s="17">
        <f t="shared" si="1"/>
        <v>-0.01830760533</v>
      </c>
    </row>
    <row r="388">
      <c r="A388" s="31">
        <v>44914.0</v>
      </c>
      <c r="B388" s="32">
        <v>-0.009755600760757143</v>
      </c>
      <c r="C388" s="32">
        <v>0.006918044832205428</v>
      </c>
      <c r="D388" s="32">
        <v>-0.011836267483739489</v>
      </c>
      <c r="F388" s="17">
        <f t="shared" si="1"/>
        <v>-0.005585773772</v>
      </c>
    </row>
    <row r="389">
      <c r="A389" s="31">
        <v>44915.0</v>
      </c>
      <c r="B389" s="32">
        <v>-3.312236759542374E-5</v>
      </c>
      <c r="C389" s="32">
        <v>-0.003915431511502855</v>
      </c>
      <c r="D389" s="32">
        <v>-0.0061463815967361946</v>
      </c>
      <c r="F389" s="17">
        <f t="shared" si="1"/>
        <v>-0.003643118802</v>
      </c>
    </row>
    <row r="390">
      <c r="A390" s="31">
        <v>44916.0</v>
      </c>
      <c r="B390" s="32">
        <v>0.0014927353060810522</v>
      </c>
      <c r="C390" s="32">
        <v>-0.030557050013544234</v>
      </c>
      <c r="D390" s="32">
        <v>-0.01768221118897733</v>
      </c>
      <c r="F390" s="17">
        <f t="shared" si="1"/>
        <v>-0.01579217889</v>
      </c>
    </row>
    <row r="391">
      <c r="A391" s="31">
        <v>44917.0</v>
      </c>
      <c r="B391" s="32">
        <v>0.008280613159053993</v>
      </c>
      <c r="C391" s="32">
        <v>-0.019279284264939762</v>
      </c>
      <c r="D391" s="32">
        <v>-0.024473654693448244</v>
      </c>
      <c r="F391" s="17">
        <f t="shared" si="1"/>
        <v>-0.01308906321</v>
      </c>
    </row>
    <row r="392">
      <c r="A392" s="31">
        <v>44918.0</v>
      </c>
      <c r="B392" s="32">
        <v>-0.016392412993509898</v>
      </c>
      <c r="C392" s="32">
        <v>-0.052578221965927686</v>
      </c>
      <c r="D392" s="32">
        <v>-0.035234962958752156</v>
      </c>
      <c r="F392" s="17">
        <f t="shared" si="1"/>
        <v>-0.03478517567</v>
      </c>
    </row>
    <row r="393">
      <c r="A393" s="31">
        <v>44921.0</v>
      </c>
      <c r="B393" s="32">
        <v>0.0035402097955815216</v>
      </c>
      <c r="C393" s="32">
        <v>0.024372149855907757</v>
      </c>
      <c r="D393" s="32">
        <v>0.0710993896519563</v>
      </c>
      <c r="F393" s="17">
        <f t="shared" si="1"/>
        <v>0.03681346376</v>
      </c>
    </row>
    <row r="394">
      <c r="A394" s="31">
        <v>44922.0</v>
      </c>
      <c r="B394" s="32">
        <v>0.008286709132800133</v>
      </c>
      <c r="C394" s="32">
        <v>0.01776382640168138</v>
      </c>
      <c r="D394" s="32">
        <v>0.028627862235297112</v>
      </c>
      <c r="F394" s="17">
        <f t="shared" si="1"/>
        <v>0.01926630555</v>
      </c>
    </row>
    <row r="395">
      <c r="A395" s="31">
        <v>44923.0</v>
      </c>
      <c r="B395" s="32">
        <v>-0.0031025857837158784</v>
      </c>
      <c r="C395" s="32">
        <v>0.00892437879353202</v>
      </c>
      <c r="D395" s="32">
        <v>-0.01548593261723226</v>
      </c>
      <c r="F395" s="17">
        <f t="shared" si="1"/>
        <v>-0.004447835144</v>
      </c>
    </row>
    <row r="396">
      <c r="A396" s="31">
        <v>44924.0</v>
      </c>
      <c r="B396" s="32">
        <v>0.00490019195602775</v>
      </c>
      <c r="C396" s="32">
        <v>-0.008923697847358145</v>
      </c>
      <c r="D396" s="32">
        <v>-0.011947142762563843</v>
      </c>
      <c r="F396" s="17">
        <f t="shared" si="1"/>
        <v>-0.005985908872</v>
      </c>
    </row>
    <row r="397">
      <c r="A397" s="31">
        <v>44925.0</v>
      </c>
      <c r="B397" s="32">
        <v>-0.006161311125231883</v>
      </c>
      <c r="C397" s="32">
        <v>0.010504737581639494</v>
      </c>
      <c r="D397" s="32">
        <v>0.004715171738074105</v>
      </c>
      <c r="F397" s="17">
        <f t="shared" si="1"/>
        <v>0.003189096632</v>
      </c>
    </row>
    <row r="398">
      <c r="A398" s="31">
        <v>44928.0</v>
      </c>
      <c r="B398" s="32">
        <v>0.01047609701188748</v>
      </c>
      <c r="C398" s="32">
        <v>0.0041425104741125976</v>
      </c>
      <c r="D398" s="32">
        <v>0.0023067500638033543</v>
      </c>
      <c r="F398" s="17">
        <f t="shared" si="1"/>
        <v>0.005308282271</v>
      </c>
    </row>
    <row r="399">
      <c r="A399" s="31">
        <v>44929.0</v>
      </c>
      <c r="B399" s="32">
        <v>-9.51411417322871E-4</v>
      </c>
      <c r="C399" s="32">
        <v>0.002646551044628692</v>
      </c>
      <c r="D399" s="32">
        <v>0.01845120973401983</v>
      </c>
      <c r="F399" s="17">
        <f t="shared" si="1"/>
        <v>0.007889025782</v>
      </c>
    </row>
    <row r="400">
      <c r="A400" s="31">
        <v>44930.0</v>
      </c>
      <c r="B400" s="32">
        <v>-0.018226001843568953</v>
      </c>
      <c r="C400" s="32">
        <v>-0.013741132155723245</v>
      </c>
      <c r="D400" s="32">
        <v>-0.0073402940349480295</v>
      </c>
      <c r="F400" s="17">
        <f t="shared" si="1"/>
        <v>-0.01252625781</v>
      </c>
    </row>
    <row r="401">
      <c r="A401" s="31">
        <v>44931.0</v>
      </c>
      <c r="B401" s="32">
        <v>-0.013112187153801658</v>
      </c>
      <c r="C401" s="32">
        <v>0.0030699180780242416</v>
      </c>
      <c r="D401" s="32">
        <v>-0.0128893897549168</v>
      </c>
      <c r="F401" s="17">
        <f t="shared" si="1"/>
        <v>-0.008168436625</v>
      </c>
    </row>
    <row r="402">
      <c r="A402" s="31">
        <v>44932.0</v>
      </c>
      <c r="B402" s="32">
        <v>-0.018099208166256275</v>
      </c>
      <c r="C402" s="32">
        <v>-0.0014125778326895743</v>
      </c>
      <c r="D402" s="32">
        <v>-0.014878892094349264</v>
      </c>
      <c r="F402" s="17">
        <f t="shared" si="1"/>
        <v>-0.01180509264</v>
      </c>
    </row>
    <row r="403">
      <c r="A403" s="31">
        <v>44935.0</v>
      </c>
      <c r="B403" s="32">
        <v>0.024818744218156753</v>
      </c>
      <c r="C403" s="32">
        <v>0.005265188212180699</v>
      </c>
      <c r="D403" s="32">
        <v>0.006151229209838769</v>
      </c>
      <c r="F403" s="17">
        <f t="shared" si="1"/>
        <v>0.01148567141</v>
      </c>
    </row>
    <row r="404">
      <c r="A404" s="31">
        <v>44936.0</v>
      </c>
      <c r="B404" s="32">
        <v>-0.0099026248679502</v>
      </c>
      <c r="C404" s="32">
        <v>-0.0041431583793554655</v>
      </c>
      <c r="D404" s="32">
        <v>-0.005166911906290171</v>
      </c>
      <c r="F404" s="17">
        <f t="shared" si="1"/>
        <v>-0.006280499737</v>
      </c>
    </row>
    <row r="405">
      <c r="A405" s="31">
        <v>44937.0</v>
      </c>
      <c r="B405" s="32">
        <v>0.0010205817315870045</v>
      </c>
      <c r="C405" s="32">
        <v>0.00596591243960913</v>
      </c>
      <c r="D405" s="32">
        <v>0.0027420240224998687</v>
      </c>
      <c r="F405" s="17">
        <f t="shared" si="1"/>
        <v>0.00319275786</v>
      </c>
    </row>
    <row r="406">
      <c r="A406" s="31">
        <v>44938.0</v>
      </c>
      <c r="B406" s="32">
        <v>0.006355123874256564</v>
      </c>
      <c r="C406" s="32">
        <v>-1.560296527506354E-4</v>
      </c>
      <c r="D406" s="32">
        <v>-0.0032412018453278056</v>
      </c>
      <c r="F406" s="17">
        <f t="shared" si="1"/>
        <v>0.0005632475283</v>
      </c>
    </row>
    <row r="407">
      <c r="A407" s="31">
        <v>44939.0</v>
      </c>
      <c r="B407" s="32">
        <v>0.015568045639357798</v>
      </c>
      <c r="C407" s="32">
        <v>0.0013267399799550615</v>
      </c>
      <c r="D407" s="32">
        <v>0.007358830774880832</v>
      </c>
      <c r="F407" s="17">
        <f t="shared" si="1"/>
        <v>0.008011967996</v>
      </c>
    </row>
    <row r="408">
      <c r="A408" s="31">
        <v>44942.0</v>
      </c>
      <c r="B408" s="32">
        <v>0.01453129095949788</v>
      </c>
      <c r="C408" s="32">
        <v>-0.0022603460639127283</v>
      </c>
      <c r="D408" s="32">
        <v>0.0016981213504745707</v>
      </c>
      <c r="F408" s="17">
        <f t="shared" si="1"/>
        <v>0.004360532009</v>
      </c>
    </row>
    <row r="409">
      <c r="A409" s="31">
        <v>44943.0</v>
      </c>
      <c r="B409" s="32">
        <v>0.009177318911832186</v>
      </c>
      <c r="C409" s="32">
        <v>0.001718672010974314</v>
      </c>
      <c r="D409" s="32">
        <v>3.0384576156844103E-4</v>
      </c>
      <c r="F409" s="17">
        <f t="shared" si="1"/>
        <v>0.003390335581</v>
      </c>
    </row>
    <row r="410">
      <c r="A410" s="31">
        <v>44944.0</v>
      </c>
      <c r="B410" s="32">
        <v>0.003832428710620351</v>
      </c>
      <c r="C410" s="32">
        <v>-0.0015596973603170293</v>
      </c>
      <c r="D410" s="32">
        <v>0.001302994044526178</v>
      </c>
      <c r="F410" s="17">
        <f t="shared" si="1"/>
        <v>0.001203017023</v>
      </c>
    </row>
    <row r="411">
      <c r="A411" s="31">
        <v>44945.0</v>
      </c>
      <c r="B411" s="32">
        <v>-0.004206030735767609</v>
      </c>
      <c r="C411" s="32">
        <v>2.3426383562855956E-4</v>
      </c>
      <c r="D411" s="32">
        <v>0.006187229655007825</v>
      </c>
      <c r="F411" s="17">
        <f t="shared" si="1"/>
        <v>0.001283361792</v>
      </c>
    </row>
    <row r="412">
      <c r="A412" s="31">
        <v>44946.0</v>
      </c>
      <c r="B412" s="32">
        <v>-0.008675011236467488</v>
      </c>
      <c r="C412" s="32">
        <v>0.0017960706255706355</v>
      </c>
      <c r="D412" s="32">
        <v>0.012163465789439144</v>
      </c>
      <c r="F412" s="17">
        <f t="shared" si="1"/>
        <v>0.002801704133</v>
      </c>
    </row>
    <row r="413">
      <c r="A413" s="31">
        <v>44949.0</v>
      </c>
      <c r="B413" s="32">
        <v>0.014715971471874048</v>
      </c>
      <c r="C413" s="32">
        <v>0.002104569295728643</v>
      </c>
      <c r="D413" s="32">
        <v>0.043452079468378126</v>
      </c>
      <c r="F413" s="17">
        <f t="shared" si="1"/>
        <v>0.02242699402</v>
      </c>
    </row>
    <row r="414">
      <c r="A414" s="31">
        <v>44950.0</v>
      </c>
      <c r="B414" s="32">
        <v>0.002519395348837229</v>
      </c>
      <c r="C414" s="32">
        <v>6.223148840507295E-4</v>
      </c>
      <c r="D414" s="32">
        <v>0.006520956769025831</v>
      </c>
      <c r="F414" s="17">
        <f t="shared" si="1"/>
        <v>0.003550895777</v>
      </c>
    </row>
    <row r="415">
      <c r="A415" s="31">
        <v>44951.0</v>
      </c>
      <c r="B415" s="32">
        <v>-0.0057349209758115385</v>
      </c>
      <c r="C415" s="32">
        <v>-0.024331504521178444</v>
      </c>
      <c r="D415" s="32">
        <v>-0.015174231623774953</v>
      </c>
      <c r="F415" s="17">
        <f t="shared" si="1"/>
        <v>-0.0150896203</v>
      </c>
    </row>
    <row r="416">
      <c r="A416" s="31">
        <v>44953.0</v>
      </c>
      <c r="B416" s="32">
        <v>-0.015456886584575483</v>
      </c>
      <c r="C416" s="32">
        <v>-0.025017946458792722</v>
      </c>
      <c r="D416" s="32">
        <v>0.010178545597402404</v>
      </c>
      <c r="F416" s="17">
        <f t="shared" si="1"/>
        <v>-0.008071031674</v>
      </c>
    </row>
    <row r="417">
      <c r="A417" s="31">
        <v>44956.0</v>
      </c>
      <c r="B417" s="32">
        <v>0.01293488114377301</v>
      </c>
      <c r="C417" s="32">
        <v>0.02124703850605365</v>
      </c>
      <c r="D417" s="32">
        <v>-0.012934523956937501</v>
      </c>
      <c r="F417" s="17">
        <f t="shared" si="1"/>
        <v>0.005080766312</v>
      </c>
    </row>
    <row r="418">
      <c r="A418" s="31">
        <v>44957.0</v>
      </c>
      <c r="B418" s="32">
        <v>-0.003281809747329911</v>
      </c>
      <c r="C418" s="32">
        <v>0.01880451380540663</v>
      </c>
      <c r="D418" s="32">
        <v>0.008292649728674462</v>
      </c>
      <c r="F418" s="17">
        <f t="shared" si="1"/>
        <v>0.007973871109</v>
      </c>
    </row>
    <row r="419">
      <c r="A419" s="31">
        <v>44958.0</v>
      </c>
      <c r="B419" s="32">
        <v>0.011312127791361024</v>
      </c>
      <c r="C419" s="32">
        <v>-0.013430707386643046</v>
      </c>
      <c r="D419" s="32">
        <v>-0.00535985224038914</v>
      </c>
      <c r="F419" s="17">
        <f t="shared" si="1"/>
        <v>-0.002779514775</v>
      </c>
    </row>
    <row r="420">
      <c r="A420" s="31">
        <v>44959.0</v>
      </c>
      <c r="B420" s="32">
        <v>0.021049593517626378</v>
      </c>
      <c r="C420" s="32">
        <v>0.0034233326026272136</v>
      </c>
      <c r="D420" s="32">
        <v>-0.0013490525654573963</v>
      </c>
      <c r="F420" s="17">
        <f t="shared" si="1"/>
        <v>0.00680225681</v>
      </c>
    </row>
    <row r="421">
      <c r="A421" s="31">
        <v>44960.0</v>
      </c>
      <c r="B421" s="32">
        <v>0.009881625256511463</v>
      </c>
      <c r="C421" s="32">
        <v>-0.004363693982284468</v>
      </c>
      <c r="D421" s="32">
        <v>-0.0025955447956589215</v>
      </c>
      <c r="F421" s="17">
        <f t="shared" si="1"/>
        <v>0.000617161464</v>
      </c>
    </row>
    <row r="422">
      <c r="A422" s="31">
        <v>44963.0</v>
      </c>
      <c r="B422" s="32">
        <v>-0.018475708113406944</v>
      </c>
      <c r="C422" s="32">
        <v>0.011793710827118374</v>
      </c>
      <c r="D422" s="32">
        <v>0.01492132951801291</v>
      </c>
      <c r="F422" s="17">
        <f t="shared" si="1"/>
        <v>0.003963932621</v>
      </c>
    </row>
    <row r="423">
      <c r="A423" s="31">
        <v>44964.0</v>
      </c>
      <c r="B423" s="32">
        <v>-0.004745645834885778</v>
      </c>
      <c r="C423" s="32">
        <v>0.0025203371827804016</v>
      </c>
      <c r="D423" s="32">
        <v>0.003493643063446778</v>
      </c>
      <c r="F423" s="17">
        <f t="shared" si="1"/>
        <v>0.0007298646297</v>
      </c>
    </row>
    <row r="424">
      <c r="A424" s="31">
        <v>44965.0</v>
      </c>
      <c r="B424" s="32">
        <v>0.017985135412414695</v>
      </c>
      <c r="C424" s="32">
        <v>0.007620356522202359</v>
      </c>
      <c r="D424" s="32">
        <v>7.994169592827627E-4</v>
      </c>
      <c r="F424" s="17">
        <f t="shared" si="1"/>
        <v>0.008001414364</v>
      </c>
    </row>
    <row r="425">
      <c r="A425" s="31">
        <v>44966.0</v>
      </c>
      <c r="B425" s="32">
        <v>0.016661427224143353</v>
      </c>
      <c r="C425" s="32">
        <v>0.01582726366743676</v>
      </c>
      <c r="D425" s="32">
        <v>-0.0018961600833366065</v>
      </c>
      <c r="F425" s="17">
        <f t="shared" si="1"/>
        <v>0.008988143234</v>
      </c>
    </row>
    <row r="426">
      <c r="A426" s="31">
        <v>44967.0</v>
      </c>
      <c r="B426" s="32">
        <v>-0.0052256963512678145</v>
      </c>
      <c r="C426" s="32">
        <v>-0.011205753113102996</v>
      </c>
      <c r="D426" s="32">
        <v>-2.243779155275552E-4</v>
      </c>
      <c r="F426" s="17">
        <f t="shared" si="1"/>
        <v>-0.005019186006</v>
      </c>
    </row>
    <row r="427">
      <c r="A427" s="31">
        <v>44970.0</v>
      </c>
      <c r="B427" s="32">
        <v>-0.02555102219265786</v>
      </c>
      <c r="C427" s="32">
        <v>-0.006287429712181553</v>
      </c>
      <c r="D427" s="32">
        <v>-0.016712381503791063</v>
      </c>
      <c r="F427" s="17">
        <f t="shared" si="1"/>
        <v>-0.01623648817</v>
      </c>
    </row>
    <row r="428">
      <c r="A428" s="31">
        <v>44971.0</v>
      </c>
      <c r="B428" s="32">
        <v>0.016459886954310762</v>
      </c>
      <c r="C428" s="32">
        <v>0.003046417861449842</v>
      </c>
      <c r="D428" s="32">
        <v>0.0037811622520975757</v>
      </c>
      <c r="F428" s="17">
        <f t="shared" si="1"/>
        <v>0.007364356346</v>
      </c>
    </row>
    <row r="429">
      <c r="A429" s="31">
        <v>44972.0</v>
      </c>
      <c r="B429" s="32">
        <v>0.002385092734975644</v>
      </c>
      <c r="C429" s="32">
        <v>0.008099076547292163</v>
      </c>
      <c r="D429" s="32">
        <v>0.008056996054316477</v>
      </c>
      <c r="F429" s="17">
        <f t="shared" si="1"/>
        <v>0.006368049206</v>
      </c>
    </row>
    <row r="430">
      <c r="A430" s="31">
        <v>44973.0</v>
      </c>
      <c r="B430" s="32">
        <v>0.0029742336522103575</v>
      </c>
      <c r="C430" s="32">
        <v>0.003089996137504828</v>
      </c>
      <c r="D430" s="32">
        <v>0.0058346008409465465</v>
      </c>
      <c r="F430" s="17">
        <f t="shared" si="1"/>
        <v>0.004153109273</v>
      </c>
    </row>
    <row r="431">
      <c r="A431" s="31">
        <v>44974.0</v>
      </c>
      <c r="B431" s="32">
        <v>-0.011237357628523834</v>
      </c>
      <c r="C431" s="32">
        <v>0.001001192144782488</v>
      </c>
      <c r="D431" s="32">
        <v>-0.0038647128387217177</v>
      </c>
      <c r="F431" s="17">
        <f t="shared" si="1"/>
        <v>-0.004616734781</v>
      </c>
    </row>
    <row r="432">
      <c r="A432" s="31">
        <v>44977.0</v>
      </c>
      <c r="B432" s="32">
        <v>0.005461486129806346</v>
      </c>
      <c r="C432" s="32">
        <v>-0.01238659440332635</v>
      </c>
      <c r="D432" s="32">
        <v>6.003392004732536E-4</v>
      </c>
      <c r="F432" s="17">
        <f t="shared" si="1"/>
        <v>-0.001837396802</v>
      </c>
    </row>
    <row r="433">
      <c r="A433" s="31">
        <v>44978.0</v>
      </c>
      <c r="B433" s="32">
        <v>-0.008132092937594655</v>
      </c>
      <c r="C433" s="32">
        <v>0.0010906162283630205</v>
      </c>
      <c r="D433" s="32">
        <v>-7.724582753155172E-4</v>
      </c>
      <c r="F433" s="17">
        <f t="shared" si="1"/>
        <v>-0.002421426323</v>
      </c>
    </row>
    <row r="434">
      <c r="A434" s="31">
        <v>44979.0</v>
      </c>
      <c r="B434" s="32">
        <v>-0.011206046850269108</v>
      </c>
      <c r="C434" s="32">
        <v>-0.03618395523182237</v>
      </c>
      <c r="D434" s="32">
        <v>-0.021585890344128743</v>
      </c>
      <c r="F434" s="17">
        <f t="shared" si="1"/>
        <v>-0.02285135676</v>
      </c>
    </row>
    <row r="435">
      <c r="A435" s="31">
        <v>44980.0</v>
      </c>
      <c r="B435" s="32">
        <v>-0.007107246543568196</v>
      </c>
      <c r="C435" s="32">
        <v>-0.027450347698052917</v>
      </c>
      <c r="D435" s="32">
        <v>-0.005132011445202573</v>
      </c>
      <c r="F435" s="17">
        <f t="shared" si="1"/>
        <v>-0.01242008285</v>
      </c>
    </row>
    <row r="436">
      <c r="A436" s="31">
        <v>44981.0</v>
      </c>
      <c r="B436" s="32">
        <v>-3.219642843725423E-5</v>
      </c>
      <c r="C436" s="32">
        <v>0.009214657331190226</v>
      </c>
      <c r="D436" s="32">
        <v>0.004371979026910307</v>
      </c>
      <c r="F436" s="17">
        <f t="shared" si="1"/>
        <v>0.004503529882</v>
      </c>
    </row>
    <row r="437">
      <c r="A437" s="31">
        <v>44984.0</v>
      </c>
      <c r="B437" s="32">
        <v>-0.026666220204437364</v>
      </c>
      <c r="C437" s="32">
        <v>-0.01316114224869197</v>
      </c>
      <c r="D437" s="32">
        <v>-0.02366857837666749</v>
      </c>
      <c r="F437" s="17">
        <f t="shared" si="1"/>
        <v>-0.02141564009</v>
      </c>
    </row>
    <row r="438">
      <c r="A438" s="31">
        <v>44985.0</v>
      </c>
      <c r="B438" s="32">
        <v>-0.014410653477690306</v>
      </c>
      <c r="C438" s="32">
        <v>0.015670624949729147</v>
      </c>
      <c r="D438" s="32">
        <v>-0.03608444933139364</v>
      </c>
      <c r="F438" s="17">
        <f t="shared" si="1"/>
        <v>-0.01405578829</v>
      </c>
    </row>
    <row r="439">
      <c r="A439" s="31">
        <v>44986.0</v>
      </c>
      <c r="B439" s="32">
        <v>0.005714093455688496</v>
      </c>
      <c r="C439" s="32">
        <v>0.003446821501846483</v>
      </c>
      <c r="D439" s="32">
        <v>0.010662005628747381</v>
      </c>
      <c r="F439" s="17">
        <f t="shared" si="1"/>
        <v>0.007013076739</v>
      </c>
    </row>
    <row r="440">
      <c r="A440" s="31">
        <v>44987.0</v>
      </c>
      <c r="B440" s="32">
        <v>-0.015975418079077857</v>
      </c>
      <c r="C440" s="32">
        <v>-0.0035167483183150636</v>
      </c>
      <c r="D440" s="32">
        <v>-0.007111079376087957</v>
      </c>
      <c r="F440" s="17">
        <f t="shared" si="1"/>
        <v>-0.00869208167</v>
      </c>
    </row>
    <row r="441">
      <c r="A441" s="31">
        <v>44988.0</v>
      </c>
      <c r="B441" s="32">
        <v>0.004856858936545393</v>
      </c>
      <c r="C441" s="32">
        <v>0.0077971108116130505</v>
      </c>
      <c r="D441" s="32">
        <v>0.004211069062304861</v>
      </c>
      <c r="F441" s="17">
        <f t="shared" si="1"/>
        <v>0.005480618549</v>
      </c>
    </row>
    <row r="442">
      <c r="A442" s="31">
        <v>44991.0</v>
      </c>
      <c r="B442" s="32">
        <v>0.019029203723091415</v>
      </c>
      <c r="C442" s="32">
        <v>0.003013235546609892</v>
      </c>
      <c r="D442" s="32">
        <v>0.009908556706171214</v>
      </c>
      <c r="F442" s="17">
        <f t="shared" si="1"/>
        <v>0.01057615446</v>
      </c>
    </row>
    <row r="443">
      <c r="A443" s="31">
        <v>44993.0</v>
      </c>
      <c r="B443" s="32">
        <v>-0.009784736130188113</v>
      </c>
      <c r="C443" s="32">
        <v>0.003978584033359896</v>
      </c>
      <c r="D443" s="32">
        <v>0.01644053363224492</v>
      </c>
      <c r="F443" s="17">
        <f t="shared" si="1"/>
        <v>0.004834367824</v>
      </c>
    </row>
    <row r="444">
      <c r="A444" s="31">
        <v>44994.0</v>
      </c>
      <c r="B444" s="32">
        <v>-0.008240053194722739</v>
      </c>
      <c r="C444" s="32">
        <v>-0.005175919126566947</v>
      </c>
      <c r="D444" s="32">
        <v>-0.008777386878712068</v>
      </c>
      <c r="F444" s="17">
        <f t="shared" si="1"/>
        <v>-0.007535746448</v>
      </c>
    </row>
    <row r="445">
      <c r="A445" s="31">
        <v>44995.0</v>
      </c>
      <c r="B445" s="32">
        <v>-0.005978097038993351</v>
      </c>
      <c r="C445" s="32">
        <v>-0.005040201707962589</v>
      </c>
      <c r="D445" s="32">
        <v>-0.005608993658058853</v>
      </c>
      <c r="F445" s="17">
        <f t="shared" si="1"/>
        <v>-0.005549087087</v>
      </c>
    </row>
    <row r="446">
      <c r="A446" s="31">
        <v>44998.0</v>
      </c>
      <c r="B446" s="32">
        <v>-0.02476984933320469</v>
      </c>
      <c r="C446" s="32">
        <v>-0.016831420537663108</v>
      </c>
      <c r="D446" s="32">
        <v>-0.018938059253503732</v>
      </c>
      <c r="F446" s="17">
        <f t="shared" si="1"/>
        <v>-0.02005560466</v>
      </c>
    </row>
    <row r="447">
      <c r="A447" s="31">
        <v>44999.0</v>
      </c>
      <c r="B447" s="32">
        <v>-0.01052189830152988</v>
      </c>
      <c r="C447" s="32">
        <v>0.0028254831416743022</v>
      </c>
      <c r="D447" s="32">
        <v>-0.01116469598070195</v>
      </c>
      <c r="F447" s="17">
        <f t="shared" si="1"/>
        <v>-0.00677480294</v>
      </c>
    </row>
    <row r="448">
      <c r="A448" s="31">
        <v>45000.0</v>
      </c>
      <c r="B448" s="32">
        <v>-2.4646197183096456E-4</v>
      </c>
      <c r="C448" s="32">
        <v>0.0038121290983527956</v>
      </c>
      <c r="D448" s="32">
        <v>0.00421440082474221</v>
      </c>
      <c r="F448" s="17">
        <f t="shared" si="1"/>
        <v>0.002755460468</v>
      </c>
    </row>
    <row r="449">
      <c r="A449" s="31">
        <v>45001.0</v>
      </c>
      <c r="B449" s="32">
        <v>-0.010953437634006661</v>
      </c>
      <c r="C449" s="32">
        <v>-0.0036324806618021617</v>
      </c>
      <c r="D449" s="32">
        <v>0.00444317866417327</v>
      </c>
      <c r="F449" s="17">
        <f t="shared" si="1"/>
        <v>-0.002598504023</v>
      </c>
    </row>
    <row r="450">
      <c r="A450" s="31">
        <v>45002.0</v>
      </c>
      <c r="B450" s="32">
        <v>0.011822502160629684</v>
      </c>
      <c r="C450" s="32">
        <v>0.013588552219632758</v>
      </c>
      <c r="D450" s="32">
        <v>0.007178934325925095</v>
      </c>
      <c r="F450" s="17">
        <f t="shared" si="1"/>
        <v>0.01049489004</v>
      </c>
    </row>
    <row r="451">
      <c r="A451" s="31">
        <v>45005.0</v>
      </c>
      <c r="B451" s="32">
        <v>-0.012001075236188295</v>
      </c>
      <c r="C451" s="32">
        <v>-0.011771457071012908</v>
      </c>
      <c r="D451" s="32">
        <v>-0.019654132976132433</v>
      </c>
      <c r="F451" s="17">
        <f t="shared" si="1"/>
        <v>-0.01499341288</v>
      </c>
    </row>
    <row r="452">
      <c r="A452" s="31">
        <v>45006.0</v>
      </c>
      <c r="B452" s="32">
        <v>-0.009225998488637489</v>
      </c>
      <c r="C452" s="32">
        <v>0.0038050921570665546</v>
      </c>
      <c r="D452" s="32">
        <v>0.008570789478000985</v>
      </c>
      <c r="F452" s="17">
        <f t="shared" si="1"/>
        <v>0.001802043892</v>
      </c>
    </row>
    <row r="453">
      <c r="A453" s="31">
        <v>45007.0</v>
      </c>
      <c r="B453" s="32">
        <v>-0.0010426051996028692</v>
      </c>
      <c r="C453" s="32">
        <v>-0.003296250515039143</v>
      </c>
      <c r="D453" s="32">
        <v>-0.005632509302865646</v>
      </c>
      <c r="F453" s="17">
        <f t="shared" si="1"/>
        <v>-0.003554660436</v>
      </c>
    </row>
    <row r="454">
      <c r="A454" s="31">
        <v>45008.0</v>
      </c>
      <c r="B454" s="32">
        <v>-0.01058121360446288</v>
      </c>
      <c r="C454" s="32">
        <v>6.614700289376277E-4</v>
      </c>
      <c r="D454" s="32">
        <v>-0.002402781688323286</v>
      </c>
      <c r="F454" s="17">
        <f t="shared" si="1"/>
        <v>-0.003937035748</v>
      </c>
    </row>
    <row r="455">
      <c r="A455" s="31">
        <v>45009.0</v>
      </c>
      <c r="B455" s="32">
        <v>0.00443779766654396</v>
      </c>
      <c r="C455" s="32">
        <v>-0.008427721718143806</v>
      </c>
      <c r="D455" s="32">
        <v>-0.006646399488259499</v>
      </c>
      <c r="F455" s="17">
        <f t="shared" si="1"/>
        <v>-0.003855537011</v>
      </c>
    </row>
    <row r="456">
      <c r="A456" s="31">
        <v>45012.0</v>
      </c>
      <c r="B456" s="32">
        <v>0.006011608195937731</v>
      </c>
      <c r="C456" s="32">
        <v>-0.029914194415415964</v>
      </c>
      <c r="D456" s="32">
        <v>-0.007382520632660975</v>
      </c>
      <c r="F456" s="17">
        <f t="shared" si="1"/>
        <v>-0.01012378412</v>
      </c>
    </row>
    <row r="457">
      <c r="A457" s="31">
        <v>45013.0</v>
      </c>
      <c r="B457" s="32">
        <v>-0.008171622736894488</v>
      </c>
      <c r="C457" s="32">
        <v>-0.03762234135532752</v>
      </c>
      <c r="D457" s="32">
        <v>-0.005078571032452481</v>
      </c>
      <c r="F457" s="17">
        <f t="shared" si="1"/>
        <v>-0.01576961764</v>
      </c>
    </row>
    <row r="458">
      <c r="A458" s="31">
        <v>45014.0</v>
      </c>
      <c r="B458" s="32">
        <v>0.004319158757012039</v>
      </c>
      <c r="C458" s="32">
        <v>0.007675808475348595</v>
      </c>
      <c r="D458" s="32">
        <v>0.005045417934822861</v>
      </c>
      <c r="F458" s="17">
        <f t="shared" si="1"/>
        <v>0.005616657344</v>
      </c>
    </row>
    <row r="459">
      <c r="A459" s="31">
        <v>45016.0</v>
      </c>
      <c r="B459" s="32">
        <v>0.0320912872158773</v>
      </c>
      <c r="C459" s="32">
        <v>0.014703255978742223</v>
      </c>
      <c r="D459" s="32">
        <v>5.121335616501343E-4</v>
      </c>
      <c r="F459" s="17">
        <f t="shared" si="1"/>
        <v>0.01424321638</v>
      </c>
    </row>
    <row r="460">
      <c r="A460" s="31">
        <v>45019.0</v>
      </c>
      <c r="B460" s="32">
        <v>-0.011975192119321054</v>
      </c>
      <c r="C460" s="32">
        <v>-0.004364525231100389</v>
      </c>
      <c r="D460" s="32">
        <v>0.00875966272449746</v>
      </c>
      <c r="F460" s="17">
        <f t="shared" si="1"/>
        <v>-0.001398050115</v>
      </c>
    </row>
    <row r="461">
      <c r="A461" s="31">
        <v>45021.0</v>
      </c>
      <c r="B461" s="32">
        <v>0.009001717557529997</v>
      </c>
      <c r="C461" s="32">
        <v>-0.006400077287043455</v>
      </c>
      <c r="D461" s="32">
        <v>0.014622526383875924</v>
      </c>
      <c r="F461" s="17">
        <f t="shared" si="1"/>
        <v>0.006629502635</v>
      </c>
    </row>
    <row r="462">
      <c r="A462" s="31">
        <v>45022.0</v>
      </c>
      <c r="B462" s="32">
        <v>-0.0011590916674541973</v>
      </c>
      <c r="C462" s="32">
        <v>0.005735462564808785</v>
      </c>
      <c r="D462" s="32">
        <v>-0.005090879460794652</v>
      </c>
      <c r="F462" s="17">
        <f t="shared" si="1"/>
        <v>-0.0006634405151</v>
      </c>
    </row>
    <row r="463">
      <c r="A463" s="31">
        <v>45026.0</v>
      </c>
      <c r="B463" s="32">
        <v>0.004008686900479255</v>
      </c>
      <c r="C463" s="32">
        <v>0.020003445376236648</v>
      </c>
      <c r="D463" s="32">
        <v>0.021909510830670276</v>
      </c>
      <c r="F463" s="17">
        <f t="shared" si="1"/>
        <v>0.01596744402</v>
      </c>
    </row>
    <row r="464">
      <c r="A464" s="31">
        <v>45027.0</v>
      </c>
      <c r="B464" s="32">
        <v>-0.015025183777391671</v>
      </c>
      <c r="C464" s="32">
        <v>0.006193077712570064</v>
      </c>
      <c r="D464" s="32">
        <v>0.02905931272712698</v>
      </c>
      <c r="F464" s="17">
        <f t="shared" si="1"/>
        <v>0.008974093271</v>
      </c>
    </row>
    <row r="465">
      <c r="A465" s="31">
        <v>45028.0</v>
      </c>
      <c r="B465" s="32">
        <v>0.01575224877996369</v>
      </c>
      <c r="C465" s="32">
        <v>-8.548469473135121E-4</v>
      </c>
      <c r="D465" s="32">
        <v>-6.816181864063511E-4</v>
      </c>
      <c r="F465" s="17">
        <f t="shared" si="1"/>
        <v>0.004196573275</v>
      </c>
    </row>
    <row r="466">
      <c r="A466" s="31">
        <v>45029.0</v>
      </c>
      <c r="B466" s="32">
        <v>-0.027375268962131005</v>
      </c>
      <c r="C466" s="32">
        <v>0.014117042541394556</v>
      </c>
      <c r="D466" s="32">
        <v>-0.01465437115586573</v>
      </c>
      <c r="F466" s="17">
        <f t="shared" si="1"/>
        <v>-0.009839216389</v>
      </c>
    </row>
    <row r="467">
      <c r="A467" s="31">
        <v>45033.0</v>
      </c>
      <c r="B467" s="32">
        <v>-0.09422682595530851</v>
      </c>
      <c r="C467" s="32">
        <v>0.006749345883769001</v>
      </c>
      <c r="D467" s="32">
        <v>9.946685764303334E-4</v>
      </c>
      <c r="F467" s="17">
        <f t="shared" si="1"/>
        <v>-0.02584537659</v>
      </c>
    </row>
    <row r="468">
      <c r="A468" s="31">
        <v>45034.0</v>
      </c>
      <c r="B468" s="32">
        <v>8.34401143697345E-4</v>
      </c>
      <c r="C468" s="32">
        <v>0.011564508040646545</v>
      </c>
      <c r="D468" s="32">
        <v>0.012329552843912659</v>
      </c>
      <c r="F468" s="17">
        <f t="shared" si="1"/>
        <v>0.008651493893</v>
      </c>
    </row>
    <row r="469">
      <c r="A469" s="31">
        <v>45035.0</v>
      </c>
      <c r="B469" s="32">
        <v>-0.02155876088252684</v>
      </c>
      <c r="C469" s="32">
        <v>0.00521916007394574</v>
      </c>
      <c r="D469" s="32">
        <v>-0.009438790671173572</v>
      </c>
      <c r="F469" s="17">
        <f t="shared" si="1"/>
        <v>-0.008677396511</v>
      </c>
    </row>
    <row r="470">
      <c r="A470" s="31">
        <v>45036.0</v>
      </c>
      <c r="B470" s="32">
        <v>-0.0071416388167021</v>
      </c>
      <c r="C470" s="32">
        <v>-0.008158911986308012</v>
      </c>
      <c r="D470" s="32">
        <v>-0.008807440906035842</v>
      </c>
      <c r="F470" s="17">
        <f t="shared" si="1"/>
        <v>-0.008113141603</v>
      </c>
    </row>
    <row r="471">
      <c r="A471" s="31">
        <v>45037.0</v>
      </c>
      <c r="B471" s="32">
        <v>0.003228667584201338</v>
      </c>
      <c r="C471" s="32">
        <v>0.002077274615704196</v>
      </c>
      <c r="D471" s="32">
        <v>0.004694776332662252</v>
      </c>
      <c r="F471" s="17">
        <f t="shared" si="1"/>
        <v>0.003469693193</v>
      </c>
    </row>
    <row r="472">
      <c r="A472" s="31">
        <v>45040.0</v>
      </c>
      <c r="B472" s="32">
        <v>-8.554422296253218E-4</v>
      </c>
      <c r="C472" s="32">
        <v>6.633897180763356E-4</v>
      </c>
      <c r="D472" s="32">
        <v>-0.004465818341028443</v>
      </c>
      <c r="F472" s="17">
        <f t="shared" si="1"/>
        <v>-0.00184394309</v>
      </c>
    </row>
    <row r="473">
      <c r="A473" s="31">
        <v>45041.0</v>
      </c>
      <c r="B473" s="32">
        <v>-0.0011416659414974174</v>
      </c>
      <c r="C473" s="32">
        <v>0.00745773917967229</v>
      </c>
      <c r="D473" s="32">
        <v>0.002918622319204319</v>
      </c>
      <c r="F473" s="17">
        <f t="shared" si="1"/>
        <v>0.003062270899</v>
      </c>
    </row>
    <row r="474">
      <c r="A474" s="31">
        <v>45042.0</v>
      </c>
      <c r="B474" s="32">
        <v>0.0021634622810652454</v>
      </c>
      <c r="C474" s="32">
        <v>4.934824611883628E-4</v>
      </c>
      <c r="D474" s="32">
        <v>0.0031333560385564344</v>
      </c>
      <c r="F474" s="17">
        <f t="shared" si="1"/>
        <v>0.002050425838</v>
      </c>
    </row>
    <row r="475">
      <c r="A475" s="31">
        <v>45043.0</v>
      </c>
      <c r="B475" s="32">
        <v>0.015233554847913217</v>
      </c>
      <c r="C475" s="32">
        <v>-0.0034528706980690516</v>
      </c>
      <c r="D475" s="32">
        <v>0.04567746688024809</v>
      </c>
      <c r="F475" s="17">
        <f t="shared" si="1"/>
        <v>0.021805192</v>
      </c>
    </row>
    <row r="476">
      <c r="A476" s="31">
        <v>45044.0</v>
      </c>
      <c r="B476" s="32">
        <v>0.005215646940822468</v>
      </c>
      <c r="C476" s="32">
        <v>0.019303765819650875</v>
      </c>
      <c r="D476" s="32">
        <v>0.009941914362793201</v>
      </c>
      <c r="F476" s="17">
        <f t="shared" si="1"/>
        <v>0.01133258957</v>
      </c>
    </row>
    <row r="477">
      <c r="A477" s="31">
        <v>45048.0</v>
      </c>
      <c r="B477" s="32">
        <v>0.019716584314508127</v>
      </c>
      <c r="C477" s="32">
        <v>0.014810657458284105</v>
      </c>
      <c r="D477" s="32">
        <v>-5.269703095243241E-5</v>
      </c>
      <c r="F477" s="17">
        <f t="shared" si="1"/>
        <v>0.01033709372</v>
      </c>
    </row>
    <row r="478">
      <c r="A478" s="31">
        <v>45049.0</v>
      </c>
      <c r="B478" s="32">
        <v>-0.006497261981577253</v>
      </c>
      <c r="C478" s="32">
        <v>0.0011962676220508628</v>
      </c>
      <c r="D478" s="32">
        <v>0.005298640725548542</v>
      </c>
      <c r="F478" s="17">
        <f t="shared" si="1"/>
        <v>0.0005291579824</v>
      </c>
    </row>
    <row r="479">
      <c r="A479" s="31">
        <v>45050.0</v>
      </c>
      <c r="B479" s="32">
        <v>0.003466906919429656</v>
      </c>
      <c r="C479" s="32">
        <v>0.006213101681444534</v>
      </c>
      <c r="D479" s="32">
        <v>0.006416100854069377</v>
      </c>
      <c r="F479" s="17">
        <f t="shared" si="1"/>
        <v>0.005470442922</v>
      </c>
    </row>
    <row r="480">
      <c r="A480" s="31">
        <v>45051.0</v>
      </c>
      <c r="B480" s="32">
        <v>-0.01134629378040248</v>
      </c>
      <c r="C480" s="32">
        <v>-0.009816263830890234</v>
      </c>
      <c r="D480" s="32">
        <v>-0.009083035539433083</v>
      </c>
      <c r="F480" s="17">
        <f t="shared" si="1"/>
        <v>-0.009981981499</v>
      </c>
    </row>
    <row r="481">
      <c r="A481" s="31">
        <v>45054.0</v>
      </c>
      <c r="B481" s="32">
        <v>0.0051624176982749785</v>
      </c>
      <c r="C481" s="32">
        <v>0.004317160051787812</v>
      </c>
      <c r="D481" s="32">
        <v>0.017874675124807574</v>
      </c>
      <c r="F481" s="17">
        <f t="shared" si="1"/>
        <v>0.009993743375</v>
      </c>
    </row>
    <row r="482">
      <c r="A482" s="31">
        <v>45055.0</v>
      </c>
      <c r="B482" s="32">
        <v>0.004029689551764092</v>
      </c>
      <c r="C482" s="32">
        <v>-0.0087565677601618</v>
      </c>
      <c r="D482" s="32">
        <v>0.03136760375211061</v>
      </c>
      <c r="F482" s="17">
        <f t="shared" si="1"/>
        <v>0.01112897804</v>
      </c>
    </row>
    <row r="483">
      <c r="A483" s="31">
        <v>45056.0</v>
      </c>
      <c r="B483" s="32">
        <v>-0.005862871871630422</v>
      </c>
      <c r="C483" s="32">
        <v>0.002730504441908323</v>
      </c>
      <c r="D483" s="32">
        <v>0.018578493750268987</v>
      </c>
      <c r="F483" s="17">
        <f t="shared" si="1"/>
        <v>0.006491687271</v>
      </c>
    </row>
    <row r="484">
      <c r="A484" s="31">
        <v>45057.0</v>
      </c>
      <c r="B484" s="32">
        <v>-0.005660022956659435</v>
      </c>
      <c r="C484" s="32">
        <v>0.003684107070653964</v>
      </c>
      <c r="D484" s="32">
        <v>0.010741590871378097</v>
      </c>
      <c r="F484" s="17">
        <f t="shared" si="1"/>
        <v>0.003703861583</v>
      </c>
    </row>
    <row r="485">
      <c r="A485" s="31">
        <v>45058.0</v>
      </c>
      <c r="B485" s="32">
        <v>-0.008677673121776983</v>
      </c>
      <c r="C485" s="32">
        <v>0.002952499315129316</v>
      </c>
      <c r="D485" s="32">
        <v>-0.016635756578895978</v>
      </c>
      <c r="F485" s="17">
        <f t="shared" si="1"/>
        <v>-0.008371854774</v>
      </c>
    </row>
    <row r="486">
      <c r="A486" s="31">
        <v>45061.0</v>
      </c>
      <c r="B486" s="32">
        <v>0.010560573014349496</v>
      </c>
      <c r="C486" s="32">
        <v>0.006205686889222232</v>
      </c>
      <c r="D486" s="32">
        <v>-0.006639730928334186</v>
      </c>
      <c r="F486" s="17">
        <f t="shared" si="1"/>
        <v>0.0023739856</v>
      </c>
    </row>
    <row r="487">
      <c r="A487" s="31">
        <v>45062.0</v>
      </c>
      <c r="B487" s="32">
        <v>0.004728472295850368</v>
      </c>
      <c r="C487" s="32">
        <v>-0.009804621230822881</v>
      </c>
      <c r="D487" s="32">
        <v>0.011960307160232431</v>
      </c>
      <c r="F487" s="17">
        <f t="shared" si="1"/>
        <v>0.003261278184</v>
      </c>
    </row>
    <row r="488">
      <c r="A488" s="31">
        <v>45063.0</v>
      </c>
      <c r="B488" s="32">
        <v>-0.01376257559569225</v>
      </c>
      <c r="C488" s="32">
        <v>-0.005430046905180714</v>
      </c>
      <c r="D488" s="32">
        <v>-0.002325883967347255</v>
      </c>
      <c r="F488" s="17">
        <f t="shared" si="1"/>
        <v>-0.006688140337</v>
      </c>
    </row>
    <row r="489">
      <c r="A489" s="31">
        <v>45064.0</v>
      </c>
      <c r="B489" s="32">
        <v>-7.218092731386701E-4</v>
      </c>
      <c r="C489" s="32">
        <v>-0.012685706945002055</v>
      </c>
      <c r="D489" s="32">
        <v>-0.014586225876259884</v>
      </c>
      <c r="F489" s="17">
        <f t="shared" si="1"/>
        <v>-0.009856745216</v>
      </c>
    </row>
    <row r="490">
      <c r="A490" s="31">
        <v>45065.0</v>
      </c>
      <c r="B490" s="32">
        <v>0.01837883146067418</v>
      </c>
      <c r="C490" s="32">
        <v>-0.0073188585437954055</v>
      </c>
      <c r="D490" s="32">
        <v>0.004538567035739669</v>
      </c>
      <c r="F490" s="17">
        <f t="shared" si="1"/>
        <v>0.005133418689</v>
      </c>
    </row>
    <row r="491">
      <c r="A491" s="31">
        <v>45068.0</v>
      </c>
      <c r="B491" s="32">
        <v>0.018835230946453126</v>
      </c>
      <c r="C491" s="32">
        <v>0.02154505532412773</v>
      </c>
      <c r="D491" s="32">
        <v>-0.01371072974255564</v>
      </c>
      <c r="F491" s="17">
        <f t="shared" si="1"/>
        <v>0.006629793984</v>
      </c>
    </row>
    <row r="492">
      <c r="A492" s="31">
        <v>45069.0</v>
      </c>
      <c r="B492" s="32">
        <v>0.005607982460712299</v>
      </c>
      <c r="C492" s="32">
        <v>0.0013632333600641052</v>
      </c>
      <c r="D492" s="32">
        <v>0.013280883710864182</v>
      </c>
      <c r="F492" s="17">
        <f t="shared" si="1"/>
        <v>0.007403718231</v>
      </c>
    </row>
    <row r="493">
      <c r="A493" s="31">
        <v>45070.0</v>
      </c>
      <c r="B493" s="32">
        <v>-0.0010769008478379851</v>
      </c>
      <c r="C493" s="32">
        <v>-0.008729001696958406</v>
      </c>
      <c r="D493" s="32">
        <v>0.001338505387404226</v>
      </c>
      <c r="F493" s="17">
        <f t="shared" si="1"/>
        <v>-0.002406368608</v>
      </c>
    </row>
    <row r="494">
      <c r="A494" s="31">
        <v>45071.0</v>
      </c>
      <c r="B494" s="32">
        <v>0.00438913632977374</v>
      </c>
      <c r="C494" s="32">
        <v>-5.655776158122196E-4</v>
      </c>
      <c r="D494" s="32">
        <v>0.03249931370470227</v>
      </c>
      <c r="F494" s="17">
        <f t="shared" si="1"/>
        <v>0.0141467931</v>
      </c>
    </row>
    <row r="495">
      <c r="A495" s="31">
        <v>45072.0</v>
      </c>
      <c r="B495" s="32">
        <v>0.010043297612634054</v>
      </c>
      <c r="C495" s="32">
        <v>0.009376749030023399</v>
      </c>
      <c r="D495" s="32">
        <v>0.028384533535325697</v>
      </c>
      <c r="F495" s="17">
        <f t="shared" si="1"/>
        <v>0.01717982741</v>
      </c>
    </row>
    <row r="496">
      <c r="A496" s="31">
        <v>45075.0</v>
      </c>
      <c r="B496" s="32">
        <v>-0.0023150230471260043</v>
      </c>
      <c r="C496" s="32">
        <v>0.034275686430073685</v>
      </c>
      <c r="D496" s="32">
        <v>0.0037297072001833582</v>
      </c>
      <c r="F496" s="17">
        <f t="shared" si="1"/>
        <v>0.01108008189</v>
      </c>
    </row>
    <row r="497">
      <c r="A497" s="31">
        <v>45076.0</v>
      </c>
      <c r="B497" s="32">
        <v>0.007189555559533328</v>
      </c>
      <c r="C497" s="32">
        <v>-0.003097173828881146</v>
      </c>
      <c r="D497" s="32">
        <v>-0.009733246132664974</v>
      </c>
      <c r="F497" s="17">
        <f t="shared" si="1"/>
        <v>-0.002665583934</v>
      </c>
    </row>
    <row r="498">
      <c r="A498" s="31">
        <v>45077.0</v>
      </c>
      <c r="B498" s="32">
        <v>-0.0041922627945872514</v>
      </c>
      <c r="C498" s="32">
        <v>0.008932038834951457</v>
      </c>
      <c r="D498" s="32">
        <v>-6.065683104289261E-5</v>
      </c>
      <c r="F498" s="17">
        <f t="shared" si="1"/>
        <v>0.00139767008</v>
      </c>
    </row>
    <row r="499">
      <c r="A499" s="31">
        <v>45078.0</v>
      </c>
      <c r="B499" s="32">
        <v>9.102260148668595E-4</v>
      </c>
      <c r="C499" s="32">
        <v>0.0</v>
      </c>
      <c r="D499" s="32">
        <v>0.02869349402688545</v>
      </c>
      <c r="F499" s="17">
        <f t="shared" si="1"/>
        <v>0.01175046542</v>
      </c>
    </row>
    <row r="500">
      <c r="A500" s="31">
        <v>45079.0</v>
      </c>
      <c r="B500" s="32">
        <v>-0.015536187949981054</v>
      </c>
      <c r="C500" s="32">
        <v>-0.006235547344110831</v>
      </c>
      <c r="D500" s="32">
        <v>0.008049013687864346</v>
      </c>
      <c r="F500" s="17">
        <f t="shared" si="1"/>
        <v>-0.003311915113</v>
      </c>
    </row>
    <row r="501">
      <c r="A501" s="31">
        <v>45082.0</v>
      </c>
      <c r="B501" s="32">
        <v>0.004234026173979984</v>
      </c>
      <c r="C501" s="32">
        <v>-0.0027887333899375383</v>
      </c>
      <c r="D501" s="32">
        <v>2.8582656387627026E-4</v>
      </c>
      <c r="F501" s="17">
        <f t="shared" si="1"/>
        <v>0.0005479184608</v>
      </c>
    </row>
    <row r="502">
      <c r="A502" s="31">
        <v>45083.0</v>
      </c>
      <c r="B502" s="32">
        <v>-0.019547719432732848</v>
      </c>
      <c r="C502" s="32">
        <v>-0.0010099028598809317</v>
      </c>
      <c r="D502" s="32">
        <v>-0.012165247909198236</v>
      </c>
      <c r="F502" s="17">
        <f t="shared" si="1"/>
        <v>-0.01103338585</v>
      </c>
    </row>
    <row r="503">
      <c r="A503" s="31">
        <v>45084.0</v>
      </c>
      <c r="B503" s="32">
        <v>0.007779476935105595</v>
      </c>
      <c r="C503" s="32">
        <v>0.015396615863141571</v>
      </c>
      <c r="D503" s="32">
        <v>0.0116443954237622</v>
      </c>
      <c r="F503" s="17">
        <f t="shared" si="1"/>
        <v>0.01161058601</v>
      </c>
    </row>
    <row r="504">
      <c r="A504" s="31">
        <v>45085.0</v>
      </c>
      <c r="B504" s="32">
        <v>-0.004771249648001353</v>
      </c>
      <c r="C504" s="32">
        <v>-0.01363152653215407</v>
      </c>
      <c r="D504" s="32">
        <v>0.01970611146979315</v>
      </c>
      <c r="F504" s="17">
        <f t="shared" si="1"/>
        <v>0.002361611734</v>
      </c>
    </row>
    <row r="505">
      <c r="A505" s="31">
        <v>45086.0</v>
      </c>
      <c r="B505" s="32">
        <v>-0.01313540486152561</v>
      </c>
      <c r="C505" s="32">
        <v>-0.005978223602484425</v>
      </c>
      <c r="D505" s="32">
        <v>-0.0034481849844062323</v>
      </c>
      <c r="F505" s="17">
        <f t="shared" si="1"/>
        <v>-0.007113362533</v>
      </c>
    </row>
    <row r="506">
      <c r="A506" s="31">
        <v>45089.0</v>
      </c>
      <c r="B506" s="32">
        <v>0.020537936732381926</v>
      </c>
      <c r="C506" s="32">
        <v>0.008982269443764013</v>
      </c>
      <c r="D506" s="32">
        <v>0.005231772089552605</v>
      </c>
      <c r="F506" s="17">
        <f t="shared" si="1"/>
        <v>0.01094877069</v>
      </c>
    </row>
    <row r="507">
      <c r="A507" s="31">
        <v>45090.0</v>
      </c>
      <c r="B507" s="32">
        <v>0.00998492626592461</v>
      </c>
      <c r="C507" s="32">
        <v>0.0026319119628952655</v>
      </c>
      <c r="D507" s="32">
        <v>-8.271298593879239E-4</v>
      </c>
      <c r="F507" s="17">
        <f t="shared" si="1"/>
        <v>0.003454199525</v>
      </c>
    </row>
    <row r="508">
      <c r="A508" s="31">
        <v>45091.0</v>
      </c>
      <c r="B508" s="32">
        <v>-0.003410316957387858</v>
      </c>
      <c r="C508" s="32">
        <v>-0.00633103173555394</v>
      </c>
      <c r="D508" s="32">
        <v>-0.013003069026999476</v>
      </c>
      <c r="F508" s="17">
        <f t="shared" si="1"/>
        <v>-0.008123632219</v>
      </c>
    </row>
    <row r="509">
      <c r="A509" s="31">
        <v>45092.0</v>
      </c>
      <c r="B509" s="32">
        <v>-0.01045830109889331</v>
      </c>
      <c r="C509" s="32">
        <v>-7.77000777000777E-4</v>
      </c>
      <c r="D509" s="32">
        <v>0.0047290808221331195</v>
      </c>
      <c r="F509" s="17">
        <f t="shared" si="1"/>
        <v>-0.001478958234</v>
      </c>
    </row>
    <row r="510">
      <c r="A510" s="31">
        <v>45093.0</v>
      </c>
      <c r="B510" s="32">
        <v>0.0037690199062155043</v>
      </c>
      <c r="C510" s="32">
        <v>0.03421461897356143</v>
      </c>
      <c r="D510" s="32">
        <v>-0.018795180621078593</v>
      </c>
      <c r="F510" s="17">
        <f t="shared" si="1"/>
        <v>0.003877019416</v>
      </c>
    </row>
    <row r="511">
      <c r="A511" s="31">
        <v>45096.0</v>
      </c>
      <c r="B511" s="32">
        <v>0.001819359699868646</v>
      </c>
      <c r="C511" s="32">
        <v>0.004285678195488676</v>
      </c>
      <c r="D511" s="32">
        <v>0.005634643582791569</v>
      </c>
      <c r="F511" s="17">
        <f t="shared" si="1"/>
        <v>0.004085368802</v>
      </c>
    </row>
    <row r="512">
      <c r="A512" s="31">
        <v>45097.0</v>
      </c>
      <c r="B512" s="32">
        <v>0.007264315301391059</v>
      </c>
      <c r="C512" s="32">
        <v>-0.005689882663108736</v>
      </c>
      <c r="D512" s="32">
        <v>0.011349389255848807</v>
      </c>
      <c r="F512" s="17">
        <f t="shared" si="1"/>
        <v>0.005012085494</v>
      </c>
    </row>
    <row r="513">
      <c r="A513" s="31">
        <v>45098.0</v>
      </c>
      <c r="B513" s="32">
        <v>-0.0031072947103153196</v>
      </c>
      <c r="C513" s="32">
        <v>-0.0025600663063335754</v>
      </c>
      <c r="D513" s="32">
        <v>0.0026124361511334093</v>
      </c>
      <c r="F513" s="17">
        <f t="shared" si="1"/>
        <v>-0.0006552338445</v>
      </c>
    </row>
    <row r="514">
      <c r="A514" s="31">
        <v>45099.0</v>
      </c>
      <c r="B514" s="32">
        <v>-0.013699101342039064</v>
      </c>
      <c r="C514" s="32">
        <v>-0.026345516165610823</v>
      </c>
      <c r="D514" s="32">
        <v>-0.015852132336424605</v>
      </c>
      <c r="F514" s="17">
        <f t="shared" si="1"/>
        <v>-0.01835423819</v>
      </c>
    </row>
    <row r="515">
      <c r="A515" s="31">
        <v>45100.0</v>
      </c>
      <c r="B515" s="32">
        <v>-0.012914087134493133</v>
      </c>
      <c r="C515" s="32">
        <v>-0.02651579371006512</v>
      </c>
      <c r="D515" s="32">
        <v>-0.024167700935798318</v>
      </c>
      <c r="F515" s="17">
        <f t="shared" si="1"/>
        <v>-0.02149604463</v>
      </c>
    </row>
    <row r="516">
      <c r="A516" s="31">
        <v>45103.0</v>
      </c>
      <c r="B516" s="32">
        <v>0.004229230039525668</v>
      </c>
      <c r="C516" s="32">
        <v>0.007406855828101785</v>
      </c>
      <c r="D516" s="32">
        <v>0.003448272753438136</v>
      </c>
      <c r="F516" s="17">
        <f t="shared" si="1"/>
        <v>0.004870134862</v>
      </c>
    </row>
    <row r="517">
      <c r="A517" s="31">
        <v>45104.0</v>
      </c>
      <c r="B517" s="32">
        <v>0.0069272626963076045</v>
      </c>
      <c r="C517" s="32">
        <v>-0.0029251892875290916</v>
      </c>
      <c r="D517" s="32">
        <v>0.005121400552762192</v>
      </c>
      <c r="F517" s="17">
        <f t="shared" si="1"/>
        <v>0.003249182244</v>
      </c>
    </row>
    <row r="518">
      <c r="A518" s="31">
        <v>45105.0</v>
      </c>
      <c r="B518" s="32">
        <v>0.011101084105518445</v>
      </c>
      <c r="C518" s="32">
        <v>-0.002854405436894569</v>
      </c>
      <c r="D518" s="32">
        <v>0.0052940163218131745</v>
      </c>
      <c r="F518" s="17">
        <f t="shared" si="1"/>
        <v>0.004591610129</v>
      </c>
    </row>
    <row r="519">
      <c r="A519" s="31">
        <v>45107.0</v>
      </c>
      <c r="B519" s="32">
        <v>0.03258980537530859</v>
      </c>
      <c r="C519" s="32">
        <v>0.01001906507669969</v>
      </c>
      <c r="D519" s="32">
        <v>3.0978797286622465E-4</v>
      </c>
      <c r="F519" s="17">
        <f t="shared" si="1"/>
        <v>0.01290657632</v>
      </c>
    </row>
    <row r="520">
      <c r="A520" s="31">
        <v>45110.0</v>
      </c>
      <c r="B520" s="32">
        <v>-0.001347846499438371</v>
      </c>
      <c r="C520" s="32">
        <v>-0.0031491104953214485</v>
      </c>
      <c r="D520" s="32">
        <v>-0.005561072016867675</v>
      </c>
      <c r="F520" s="17">
        <f t="shared" si="1"/>
        <v>-0.003573515905</v>
      </c>
    </row>
    <row r="521">
      <c r="A521" s="31">
        <v>45111.0</v>
      </c>
      <c r="B521" s="32">
        <v>0.008585194137118158</v>
      </c>
      <c r="C521" s="32">
        <v>-0.0069498723215872535</v>
      </c>
      <c r="D521" s="32">
        <v>-0.004306746463805516</v>
      </c>
      <c r="F521" s="17">
        <f t="shared" si="1"/>
        <v>-0.001232102041</v>
      </c>
    </row>
    <row r="522">
      <c r="A522" s="31">
        <v>45112.0</v>
      </c>
      <c r="B522" s="32">
        <v>0.0015983533149756047</v>
      </c>
      <c r="C522" s="32">
        <v>0.003022051795348072</v>
      </c>
      <c r="D522" s="32">
        <v>0.005223721820999462</v>
      </c>
      <c r="F522" s="17">
        <f t="shared" si="1"/>
        <v>0.003475610261</v>
      </c>
    </row>
    <row r="523">
      <c r="A523" s="31">
        <v>45113.0</v>
      </c>
      <c r="B523" s="32">
        <v>-0.002523584113667552</v>
      </c>
      <c r="C523" s="32">
        <v>0.0026958643588657783</v>
      </c>
      <c r="D523" s="32">
        <v>-0.002343385447860126</v>
      </c>
      <c r="F523" s="17">
        <f t="shared" si="1"/>
        <v>-0.0008856701056</v>
      </c>
    </row>
    <row r="524">
      <c r="A524" s="31">
        <v>45114.0</v>
      </c>
      <c r="B524" s="32">
        <v>-0.010194265016249433</v>
      </c>
      <c r="C524" s="32">
        <v>-0.002609463911613983</v>
      </c>
      <c r="D524" s="32">
        <v>8.360333518773452E-4</v>
      </c>
      <c r="F524" s="17">
        <f t="shared" si="1"/>
        <v>-0.003506705338</v>
      </c>
    </row>
    <row r="525">
      <c r="A525" s="31">
        <v>45117.0</v>
      </c>
      <c r="B525" s="32">
        <v>-7.893001343224565E-4</v>
      </c>
      <c r="C525" s="32">
        <v>-0.023388566461070966</v>
      </c>
      <c r="D525" s="32">
        <v>-0.00721326270867779</v>
      </c>
      <c r="F525" s="17">
        <f t="shared" si="1"/>
        <v>-0.01013866506</v>
      </c>
    </row>
    <row r="526">
      <c r="A526" s="31">
        <v>45118.0</v>
      </c>
      <c r="B526" s="32">
        <v>0.014633375953653776</v>
      </c>
      <c r="C526" s="32">
        <v>0.0050332454606301</v>
      </c>
      <c r="D526" s="32">
        <v>-0.004554422251160291</v>
      </c>
      <c r="F526" s="17">
        <f t="shared" si="1"/>
        <v>0.004078217524</v>
      </c>
    </row>
    <row r="527">
      <c r="A527" s="31">
        <v>45119.0</v>
      </c>
      <c r="B527" s="32">
        <v>-0.011345044692481905</v>
      </c>
      <c r="C527" s="32">
        <v>0.002746384491114726</v>
      </c>
      <c r="D527" s="32">
        <v>-0.002938341813589906</v>
      </c>
      <c r="F527" s="17">
        <f t="shared" si="1"/>
        <v>-0.003754934786</v>
      </c>
    </row>
    <row r="528">
      <c r="A528" s="31">
        <v>45120.0</v>
      </c>
      <c r="B528" s="32">
        <v>0.023850540637008578</v>
      </c>
      <c r="C528" s="32">
        <v>-0.0047527178072618035</v>
      </c>
      <c r="D528" s="32">
        <v>0.018408720605550835</v>
      </c>
      <c r="F528" s="17">
        <f t="shared" si="1"/>
        <v>0.01309283509</v>
      </c>
    </row>
    <row r="529">
      <c r="A529" s="31">
        <v>45121.0</v>
      </c>
      <c r="B529" s="32">
        <v>0.044575471445177206</v>
      </c>
      <c r="C529" s="32">
        <v>0.00825572804532573</v>
      </c>
      <c r="D529" s="32">
        <v>0.021498298662425405</v>
      </c>
      <c r="F529" s="17">
        <f t="shared" si="1"/>
        <v>0.02444867931</v>
      </c>
    </row>
    <row r="530">
      <c r="A530" s="31">
        <v>45124.0</v>
      </c>
      <c r="B530" s="32">
        <v>-0.0021038606564670373</v>
      </c>
      <c r="C530" s="32">
        <v>0.004334931530927787</v>
      </c>
      <c r="D530" s="32">
        <v>-0.0014552275005659217</v>
      </c>
      <c r="F530" s="17">
        <f t="shared" si="1"/>
        <v>0.00008723026211</v>
      </c>
    </row>
    <row r="531">
      <c r="A531" s="31">
        <v>45125.0</v>
      </c>
      <c r="B531" s="32">
        <v>0.03671949246231781</v>
      </c>
      <c r="C531" s="32">
        <v>-0.00431622100838409</v>
      </c>
      <c r="D531" s="32">
        <v>-0.02289656065807371</v>
      </c>
      <c r="F531" s="17">
        <f t="shared" si="1"/>
        <v>0.000562357173</v>
      </c>
    </row>
    <row r="532">
      <c r="A532" s="31">
        <v>45126.0</v>
      </c>
      <c r="B532" s="32">
        <v>-1.6946855226678353E-4</v>
      </c>
      <c r="C532" s="32">
        <v>0.00425467464415545</v>
      </c>
      <c r="D532" s="32">
        <v>0.0021411159060024674</v>
      </c>
      <c r="F532" s="17">
        <f t="shared" si="1"/>
        <v>0.00208200819</v>
      </c>
    </row>
    <row r="533">
      <c r="A533" s="31">
        <v>45127.0</v>
      </c>
      <c r="B533" s="32">
        <v>-0.017254789549126914</v>
      </c>
      <c r="C533" s="32">
        <v>-5.595139888089043E-4</v>
      </c>
      <c r="D533" s="32">
        <v>-0.008546229985517866</v>
      </c>
      <c r="F533" s="17">
        <f t="shared" si="1"/>
        <v>-0.008762783056</v>
      </c>
    </row>
    <row r="534">
      <c r="A534" s="31">
        <v>45128.0</v>
      </c>
      <c r="B534" s="32">
        <v>-0.0813384091065885</v>
      </c>
      <c r="C534" s="32">
        <v>-0.00327928964456068</v>
      </c>
      <c r="D534" s="32">
        <v>-0.024478565279388336</v>
      </c>
      <c r="F534" s="17">
        <f t="shared" si="1"/>
        <v>-0.03517673574</v>
      </c>
    </row>
    <row r="535">
      <c r="A535" s="31">
        <v>45131.0</v>
      </c>
      <c r="B535" s="32">
        <v>0.0037548814134253186</v>
      </c>
      <c r="C535" s="32">
        <v>-0.004493641643150994</v>
      </c>
      <c r="D535" s="32">
        <v>-0.007406786115723138</v>
      </c>
      <c r="F535" s="17">
        <f t="shared" si="1"/>
        <v>-0.003184342515</v>
      </c>
    </row>
    <row r="536">
      <c r="A536" s="31">
        <v>45132.0</v>
      </c>
      <c r="B536" s="32">
        <v>-0.0014963340086129105</v>
      </c>
      <c r="C536" s="32">
        <v>-0.001370266026830827</v>
      </c>
      <c r="D536" s="32">
        <v>-0.0038378458874723373</v>
      </c>
      <c r="F536" s="17">
        <f t="shared" si="1"/>
        <v>-0.002395118366</v>
      </c>
    </row>
    <row r="537">
      <c r="A537" s="31">
        <v>45133.0</v>
      </c>
      <c r="B537" s="32">
        <v>0.010677356703324262</v>
      </c>
      <c r="C537" s="32">
        <v>8.878650243693673E-4</v>
      </c>
      <c r="D537" s="32">
        <v>-2.974059457387769E-4</v>
      </c>
      <c r="F537" s="17">
        <f t="shared" si="1"/>
        <v>0.00335060414</v>
      </c>
    </row>
    <row r="538">
      <c r="A538" s="31">
        <v>45134.0</v>
      </c>
      <c r="B538" s="32">
        <v>0.0031879364469811584</v>
      </c>
      <c r="C538" s="32">
        <v>-8.064516129032258E-4</v>
      </c>
      <c r="D538" s="32">
        <v>6.018805101405347E-4</v>
      </c>
      <c r="F538" s="17">
        <f t="shared" si="1"/>
        <v>0.0009551976543</v>
      </c>
    </row>
    <row r="539">
      <c r="A539" s="31">
        <v>45135.0</v>
      </c>
      <c r="B539" s="32">
        <v>-0.009348574641122003</v>
      </c>
      <c r="C539" s="32">
        <v>0.01799842453591611</v>
      </c>
      <c r="D539" s="32">
        <v>-0.001106340049610542</v>
      </c>
      <c r="F539" s="17">
        <f t="shared" si="1"/>
        <v>0.002152418949</v>
      </c>
    </row>
    <row r="540">
      <c r="A540" s="31">
        <v>45138.0</v>
      </c>
      <c r="B540" s="32">
        <v>0.011339016038791536</v>
      </c>
      <c r="C540" s="32">
        <v>0.015856655227844723</v>
      </c>
      <c r="D540" s="32">
        <v>-0.008812053733305186</v>
      </c>
      <c r="F540" s="17">
        <f t="shared" si="1"/>
        <v>0.004633879887</v>
      </c>
    </row>
    <row r="541">
      <c r="A541" s="31">
        <v>45139.0</v>
      </c>
      <c r="B541" s="32">
        <v>0.007007450279092028</v>
      </c>
      <c r="C541" s="32">
        <v>0.003277883276876252</v>
      </c>
      <c r="D541" s="32">
        <v>0.003582688961519549</v>
      </c>
      <c r="F541" s="17">
        <f t="shared" si="1"/>
        <v>0.004518675651</v>
      </c>
    </row>
    <row r="542">
      <c r="A542" s="31">
        <v>45140.0</v>
      </c>
      <c r="B542" s="32">
        <v>-0.006116301860312684</v>
      </c>
      <c r="C542" s="32">
        <v>-0.007779074290159471</v>
      </c>
      <c r="D542" s="32">
        <v>2.9928672150668524E-4</v>
      </c>
      <c r="F542" s="17">
        <f t="shared" si="1"/>
        <v>-0.004048898157</v>
      </c>
    </row>
    <row r="543">
      <c r="A543" s="31">
        <v>45141.0</v>
      </c>
      <c r="B543" s="32">
        <v>0.005490712408723936</v>
      </c>
      <c r="C543" s="32">
        <v>0.03520190043120347</v>
      </c>
      <c r="D543" s="32">
        <v>-0.0025531634714678294</v>
      </c>
      <c r="F543" s="17">
        <f t="shared" si="1"/>
        <v>0.01118651846</v>
      </c>
    </row>
    <row r="544">
      <c r="A544" s="31">
        <v>45142.0</v>
      </c>
      <c r="B544" s="32">
        <v>0.010298267606380498</v>
      </c>
      <c r="C544" s="32">
        <v>-0.0100727414103713</v>
      </c>
      <c r="D544" s="32">
        <v>0.001897109970788018</v>
      </c>
      <c r="F544" s="17">
        <f t="shared" si="1"/>
        <v>0.0008265018471</v>
      </c>
    </row>
    <row r="545">
      <c r="A545" s="31">
        <v>45145.0</v>
      </c>
      <c r="B545" s="32">
        <v>0.010628667794891035</v>
      </c>
      <c r="C545" s="32">
        <v>3.8252621006857094E-4</v>
      </c>
      <c r="D545" s="32">
        <v>-6.33529349520291E-4</v>
      </c>
      <c r="F545" s="17">
        <f t="shared" si="1"/>
        <v>0.003049946462</v>
      </c>
    </row>
    <row r="546">
      <c r="A546" s="31">
        <v>45146.0</v>
      </c>
      <c r="B546" s="32">
        <v>-0.0020100854271356385</v>
      </c>
      <c r="C546" s="32">
        <v>-0.017130639653667318</v>
      </c>
      <c r="D546" s="32">
        <v>-0.0022151189368870795</v>
      </c>
      <c r="F546" s="17">
        <f t="shared" si="1"/>
        <v>-0.006628265099</v>
      </c>
    </row>
    <row r="547">
      <c r="A547" s="31">
        <v>45147.0</v>
      </c>
      <c r="B547" s="32">
        <v>0.0030212006531713472</v>
      </c>
      <c r="C547" s="32">
        <v>0.009414952110113464</v>
      </c>
      <c r="D547" s="32">
        <v>-2.8620566880754693E-4</v>
      </c>
      <c r="F547" s="17">
        <f t="shared" si="1"/>
        <v>0.003616363561</v>
      </c>
    </row>
    <row r="548">
      <c r="A548" s="31">
        <v>45148.0</v>
      </c>
      <c r="B548" s="32">
        <v>-0.0038009523155315586</v>
      </c>
      <c r="C548" s="32">
        <v>-0.003391677975178823</v>
      </c>
      <c r="D548" s="32">
        <v>-0.010495937534939891</v>
      </c>
      <c r="F548" s="17">
        <f t="shared" si="1"/>
        <v>-0.006356164101</v>
      </c>
    </row>
    <row r="549">
      <c r="A549" s="31">
        <v>45149.0</v>
      </c>
      <c r="B549" s="32">
        <v>-0.012418112661460446</v>
      </c>
      <c r="C549" s="32">
        <v>0.02482788723345245</v>
      </c>
      <c r="D549" s="32">
        <v>0.004086240373308664</v>
      </c>
      <c r="F549" s="17">
        <f t="shared" si="1"/>
        <v>0.005357428521</v>
      </c>
    </row>
    <row r="550">
      <c r="A550" s="31">
        <v>45152.0</v>
      </c>
      <c r="B550" s="32">
        <v>0.015818109399449356</v>
      </c>
      <c r="C550" s="32">
        <v>-0.019396190188679198</v>
      </c>
      <c r="D550" s="32">
        <v>-0.005665057810578056</v>
      </c>
      <c r="F550" s="17">
        <f t="shared" si="1"/>
        <v>-0.003339447361</v>
      </c>
    </row>
    <row r="551">
      <c r="A551" s="31">
        <v>45154.0</v>
      </c>
      <c r="B551" s="32">
        <v>0.01790387867152955</v>
      </c>
      <c r="C551" s="32">
        <v>-0.012776183627140234</v>
      </c>
      <c r="D551" s="32">
        <v>-0.0011097974515392004</v>
      </c>
      <c r="F551" s="17">
        <f t="shared" si="1"/>
        <v>0.001094389533</v>
      </c>
    </row>
    <row r="552">
      <c r="A552" s="31">
        <v>45155.0</v>
      </c>
      <c r="B552" s="32">
        <v>-0.004899507225942936</v>
      </c>
      <c r="C552" s="32">
        <v>0.012083886006101606</v>
      </c>
      <c r="D552" s="32">
        <v>0.0020663633375080466</v>
      </c>
      <c r="F552" s="17">
        <f t="shared" si="1"/>
        <v>0.002981858969</v>
      </c>
    </row>
    <row r="553">
      <c r="A553" s="31">
        <v>45156.0</v>
      </c>
      <c r="B553" s="32">
        <v>-0.016117033906177847</v>
      </c>
      <c r="C553" s="32">
        <v>-0.008781315992530462</v>
      </c>
      <c r="D553" s="32">
        <v>-0.010176307309909368</v>
      </c>
      <c r="F553" s="17">
        <f t="shared" si="1"/>
        <v>-0.01154002789</v>
      </c>
    </row>
    <row r="554">
      <c r="A554" s="31">
        <v>45159.0</v>
      </c>
      <c r="B554" s="32">
        <v>0.011952746554086626</v>
      </c>
      <c r="C554" s="32">
        <v>0.011035088180226691</v>
      </c>
      <c r="D554" s="32">
        <v>0.00123426341059443</v>
      </c>
      <c r="F554" s="17">
        <f t="shared" si="1"/>
        <v>0.007390055785</v>
      </c>
    </row>
    <row r="555">
      <c r="A555" s="31">
        <v>45160.0</v>
      </c>
      <c r="B555" s="32">
        <v>-0.0011740600340277426</v>
      </c>
      <c r="C555" s="32">
        <v>0.0018447532667179327</v>
      </c>
      <c r="D555" s="32">
        <v>0.0010332345515734719</v>
      </c>
      <c r="F555" s="17">
        <f t="shared" si="1"/>
        <v>0.0006145017904</v>
      </c>
    </row>
    <row r="556">
      <c r="A556" s="31">
        <v>45161.0</v>
      </c>
      <c r="B556" s="32">
        <v>0.0029919508459483922</v>
      </c>
      <c r="C556" s="32">
        <v>-0.0031456006786140505</v>
      </c>
      <c r="D556" s="32">
        <v>0.011773862272606758</v>
      </c>
      <c r="F556" s="17">
        <f t="shared" si="1"/>
        <v>0.004663449959</v>
      </c>
    </row>
    <row r="557">
      <c r="A557" s="31">
        <v>45162.0</v>
      </c>
      <c r="B557" s="32">
        <v>0.011115469686180567</v>
      </c>
      <c r="C557" s="32">
        <v>0.015315864900206543</v>
      </c>
      <c r="D557" s="32">
        <v>0.02418825792380485</v>
      </c>
      <c r="F557" s="17">
        <f t="shared" si="1"/>
        <v>0.01760470355</v>
      </c>
    </row>
    <row r="558">
      <c r="A558" s="31">
        <v>45163.0</v>
      </c>
      <c r="B558" s="32">
        <v>-0.002458555815541823</v>
      </c>
      <c r="C558" s="32">
        <v>-0.0020466586554271945</v>
      </c>
      <c r="D558" s="32">
        <v>0.0031324893087295294</v>
      </c>
      <c r="F558" s="17">
        <f t="shared" si="1"/>
        <v>-0.0000985686178</v>
      </c>
    </row>
    <row r="559">
      <c r="A559" s="31">
        <v>45166.0</v>
      </c>
      <c r="B559" s="32">
        <v>-0.003133548394623689</v>
      </c>
      <c r="C559" s="32">
        <v>0.03015567945309528</v>
      </c>
      <c r="D559" s="32">
        <v>0.009956885969007115</v>
      </c>
      <c r="F559" s="17">
        <f t="shared" si="1"/>
        <v>0.01208939371</v>
      </c>
    </row>
    <row r="560">
      <c r="A560" s="31">
        <v>45167.0</v>
      </c>
      <c r="B560" s="32">
        <v>0.0014127785583253733</v>
      </c>
      <c r="C560" s="32">
        <v>-0.008258333871405373</v>
      </c>
      <c r="D560" s="32">
        <v>0.0012476280143836676</v>
      </c>
      <c r="F560" s="17">
        <f t="shared" si="1"/>
        <v>-0.001554615388</v>
      </c>
    </row>
    <row r="561">
      <c r="A561" s="31">
        <v>45168.0</v>
      </c>
      <c r="B561" s="32">
        <v>0.012344372520534023</v>
      </c>
      <c r="C561" s="32">
        <v>7.433159851298858E-5</v>
      </c>
      <c r="D561" s="32">
        <v>0.0025326859422615125</v>
      </c>
      <c r="F561" s="17">
        <f t="shared" si="1"/>
        <v>0.004738685613</v>
      </c>
    </row>
    <row r="562">
      <c r="A562" s="31">
        <v>45169.0</v>
      </c>
      <c r="B562" s="32">
        <v>2.0898651359394405E-4</v>
      </c>
      <c r="C562" s="32">
        <v>-8.177652365075722E-4</v>
      </c>
      <c r="D562" s="32">
        <v>-0.020933351042211716</v>
      </c>
      <c r="F562" s="17">
        <f t="shared" si="1"/>
        <v>-0.008555974034</v>
      </c>
    </row>
    <row r="563">
      <c r="A563" s="31">
        <v>45170.0</v>
      </c>
      <c r="B563" s="32">
        <v>0.005851841085889531</v>
      </c>
      <c r="C563" s="32">
        <v>0.024330321428571382</v>
      </c>
      <c r="D563" s="32">
        <v>0.005105490403011127</v>
      </c>
      <c r="F563" s="17">
        <f t="shared" si="1"/>
        <v>0.01109684492</v>
      </c>
    </row>
    <row r="564">
      <c r="A564" s="31">
        <v>45173.0</v>
      </c>
      <c r="B564" s="32">
        <v>0.014717595562712397</v>
      </c>
      <c r="C564" s="32">
        <v>0.02164600060943422</v>
      </c>
      <c r="D564" s="32">
        <v>0.004901045636344544</v>
      </c>
      <c r="F564" s="17">
        <f t="shared" si="1"/>
        <v>0.01286949711</v>
      </c>
    </row>
    <row r="565">
      <c r="A565" s="31">
        <v>45174.0</v>
      </c>
      <c r="B565" s="32">
        <v>0.009419185192860901</v>
      </c>
      <c r="C565" s="32">
        <v>-0.0019196246000710553</v>
      </c>
      <c r="D565" s="32">
        <v>0.011680647323386736</v>
      </c>
      <c r="F565" s="17">
        <f t="shared" si="1"/>
        <v>0.006922127107</v>
      </c>
    </row>
    <row r="566">
      <c r="A566" s="31">
        <v>45175.0</v>
      </c>
      <c r="B566" s="32">
        <v>-9.80507793946709E-4</v>
      </c>
      <c r="C566" s="32">
        <v>0.009403014352938631</v>
      </c>
      <c r="D566" s="32">
        <v>-0.006630333854525057</v>
      </c>
      <c r="F566" s="17">
        <f t="shared" si="1"/>
        <v>-0.0001253815741</v>
      </c>
    </row>
    <row r="567">
      <c r="A567" s="31">
        <v>45176.0</v>
      </c>
      <c r="B567" s="32">
        <v>-0.0076144711314149955</v>
      </c>
      <c r="C567" s="32">
        <v>-0.0017642907551164433</v>
      </c>
      <c r="D567" s="32">
        <v>0.005824965180953629</v>
      </c>
      <c r="F567" s="17">
        <f t="shared" si="1"/>
        <v>-0.0004836424936</v>
      </c>
    </row>
    <row r="568">
      <c r="A568" s="31">
        <v>45177.0</v>
      </c>
      <c r="B568" s="32">
        <v>0.0023189367846322578</v>
      </c>
      <c r="C568" s="32">
        <v>0.025874850477200402</v>
      </c>
      <c r="D568" s="32">
        <v>-0.004439706565808054</v>
      </c>
      <c r="F568" s="17">
        <f t="shared" si="1"/>
        <v>0.006682253552</v>
      </c>
    </row>
    <row r="569">
      <c r="A569" s="31">
        <v>45180.0</v>
      </c>
      <c r="B569" s="32">
        <v>0.004661115345581692</v>
      </c>
      <c r="C569" s="32">
        <v>-0.011232808400239344</v>
      </c>
      <c r="D569" s="32">
        <v>0.004880359757857458</v>
      </c>
      <c r="F569" s="17">
        <f t="shared" si="1"/>
        <v>-0.00001936401325</v>
      </c>
    </row>
    <row r="570">
      <c r="A570" s="31">
        <v>45181.0</v>
      </c>
      <c r="B570" s="32">
        <v>0.01669546941520398</v>
      </c>
      <c r="C570" s="32">
        <v>-0.04070255230434731</v>
      </c>
      <c r="D570" s="32">
        <v>-0.0047688583002706425</v>
      </c>
      <c r="F570" s="17">
        <f t="shared" si="1"/>
        <v>-0.009109668187</v>
      </c>
    </row>
    <row r="571">
      <c r="A571" s="31">
        <v>45182.0</v>
      </c>
      <c r="B571" s="32">
        <v>-0.0018319899033826911</v>
      </c>
      <c r="C571" s="32">
        <v>-0.0017436965694211804</v>
      </c>
      <c r="D571" s="32">
        <v>-0.013906920140510749</v>
      </c>
      <c r="F571" s="17">
        <f t="shared" si="1"/>
        <v>-0.006635473998</v>
      </c>
    </row>
    <row r="572">
      <c r="A572" s="31">
        <v>45183.0</v>
      </c>
      <c r="B572" s="32">
        <v>0.005739630351887886</v>
      </c>
      <c r="C572" s="32">
        <v>0.013682713245997133</v>
      </c>
      <c r="D572" s="32">
        <v>0.006366664917120913</v>
      </c>
      <c r="F572" s="17">
        <f t="shared" si="1"/>
        <v>0.008373369046</v>
      </c>
    </row>
    <row r="573">
      <c r="A573" s="31">
        <v>45184.0</v>
      </c>
      <c r="B573" s="32">
        <v>0.003085719599986844</v>
      </c>
      <c r="C573" s="32">
        <v>-0.0010769672230798199</v>
      </c>
      <c r="D573" s="32">
        <v>-0.010395792579153382</v>
      </c>
      <c r="F573" s="17">
        <f t="shared" si="1"/>
        <v>-0.003555691319</v>
      </c>
    </row>
    <row r="574">
      <c r="A574" s="31">
        <v>45187.0</v>
      </c>
      <c r="B574" s="32">
        <v>-0.013098655275448368</v>
      </c>
      <c r="C574" s="32">
        <v>-0.009056346988640456</v>
      </c>
      <c r="D574" s="32">
        <v>0.007394967375713656</v>
      </c>
      <c r="F574" s="17">
        <f t="shared" si="1"/>
        <v>-0.003688513729</v>
      </c>
    </row>
    <row r="575">
      <c r="A575" s="31">
        <v>45189.0</v>
      </c>
      <c r="B575" s="32">
        <v>-0.001039046084653899</v>
      </c>
      <c r="C575" s="32">
        <v>-0.015666915755430427</v>
      </c>
      <c r="D575" s="32">
        <v>0.001886624202971834</v>
      </c>
      <c r="F575" s="17">
        <f t="shared" si="1"/>
        <v>-0.004257138871</v>
      </c>
    </row>
    <row r="576">
      <c r="A576" s="31">
        <v>45190.0</v>
      </c>
      <c r="B576" s="32">
        <v>0.007716826035900017</v>
      </c>
      <c r="C576" s="32">
        <v>-0.010684548122046389</v>
      </c>
      <c r="D576" s="32">
        <v>-0.0021843228767941775</v>
      </c>
      <c r="F576" s="17">
        <f t="shared" si="1"/>
        <v>-0.001764045777</v>
      </c>
    </row>
    <row r="577">
      <c r="A577" s="31">
        <v>45191.0</v>
      </c>
      <c r="B577" s="32">
        <v>-0.003728966871982667</v>
      </c>
      <c r="C577" s="32">
        <v>-0.011842711369153212</v>
      </c>
      <c r="D577" s="32">
        <v>-0.004268502551848758</v>
      </c>
      <c r="F577" s="17">
        <f t="shared" si="1"/>
        <v>-0.006378904493</v>
      </c>
    </row>
    <row r="578">
      <c r="A578" s="31">
        <v>45194.0</v>
      </c>
      <c r="B578" s="32">
        <v>-0.0147044077446073</v>
      </c>
      <c r="C578" s="32">
        <v>0.03896892580878008</v>
      </c>
      <c r="D578" s="32">
        <v>0.0017781073110740531</v>
      </c>
      <c r="F578" s="17">
        <f t="shared" si="1"/>
        <v>0.007990598344</v>
      </c>
    </row>
    <row r="579">
      <c r="A579" s="31">
        <v>45195.0</v>
      </c>
      <c r="B579" s="32">
        <v>-0.009157819611445463</v>
      </c>
      <c r="C579" s="32">
        <v>-0.01109986051480224</v>
      </c>
      <c r="D579" s="32">
        <v>0.005937174778989386</v>
      </c>
      <c r="F579" s="17">
        <f t="shared" si="1"/>
        <v>-0.003702434126</v>
      </c>
    </row>
    <row r="580">
      <c r="A580" s="31">
        <v>45196.0</v>
      </c>
      <c r="B580" s="32">
        <v>0.004347363088805159</v>
      </c>
      <c r="C580" s="32">
        <v>6.602773207003786E-4</v>
      </c>
      <c r="D580" s="32">
        <v>-0.0012583549389703793</v>
      </c>
      <c r="F580" s="17">
        <f t="shared" si="1"/>
        <v>0.0009989501473</v>
      </c>
    </row>
    <row r="581">
      <c r="A581" s="31">
        <v>45197.0</v>
      </c>
      <c r="B581" s="32">
        <v>-0.01877985616905245</v>
      </c>
      <c r="C581" s="32">
        <v>-0.014516164222873945</v>
      </c>
      <c r="D581" s="32">
        <v>-0.010093566297130109</v>
      </c>
      <c r="F581" s="17">
        <f t="shared" si="1"/>
        <v>-0.01402623264</v>
      </c>
    </row>
    <row r="582">
      <c r="A582" s="31">
        <v>45198.0</v>
      </c>
      <c r="B582" s="32">
        <v>-0.0027788392345431396</v>
      </c>
      <c r="C582" s="32">
        <v>0.01301889646251081</v>
      </c>
      <c r="D582" s="32">
        <v>-1.176117874930671E-4</v>
      </c>
      <c r="F582" s="17">
        <f t="shared" si="1"/>
        <v>0.003024972453</v>
      </c>
    </row>
    <row r="583">
      <c r="A583" s="31">
        <v>45202.0</v>
      </c>
      <c r="B583" s="32">
        <v>-0.0010101020930684162</v>
      </c>
      <c r="C583" s="32">
        <v>0.03334069589509689</v>
      </c>
      <c r="D583" s="32">
        <v>-0.0022760987696474324</v>
      </c>
      <c r="F583" s="17">
        <f t="shared" si="1"/>
        <v>0.008788738633</v>
      </c>
    </row>
    <row r="584">
      <c r="A584" s="31">
        <v>45203.0</v>
      </c>
      <c r="B584" s="32">
        <v>0.007217556485355627</v>
      </c>
      <c r="C584" s="32">
        <v>7.106815557219511E-4</v>
      </c>
      <c r="D584" s="32">
        <v>0.009874173807610338</v>
      </c>
      <c r="F584" s="17">
        <f t="shared" si="1"/>
        <v>0.006328140935</v>
      </c>
    </row>
    <row r="585">
      <c r="A585" s="31">
        <v>45204.0</v>
      </c>
      <c r="B585" s="32">
        <v>0.013223924476321026</v>
      </c>
      <c r="C585" s="32">
        <v>0.021873480949480578</v>
      </c>
      <c r="D585" s="32">
        <v>-0.003391931684369336</v>
      </c>
      <c r="F585" s="17">
        <f t="shared" si="1"/>
        <v>0.009172448954</v>
      </c>
    </row>
    <row r="586">
      <c r="A586" s="31">
        <v>45205.0</v>
      </c>
      <c r="B586" s="32">
        <v>0.01042058185152107</v>
      </c>
      <c r="C586" s="32">
        <v>4.864493629335983E-4</v>
      </c>
      <c r="D586" s="32">
        <v>0.006276498343174016</v>
      </c>
      <c r="F586" s="17">
        <f t="shared" si="1"/>
        <v>0.005782708702</v>
      </c>
    </row>
    <row r="587">
      <c r="A587" s="31">
        <v>45208.0</v>
      </c>
      <c r="B587" s="32">
        <v>-0.0021978765859849547</v>
      </c>
      <c r="C587" s="32">
        <v>-0.023548224899386933</v>
      </c>
      <c r="D587" s="32">
        <v>-4.5874471945498465E-4</v>
      </c>
      <c r="F587" s="17">
        <f t="shared" si="1"/>
        <v>-0.007907328333</v>
      </c>
    </row>
    <row r="588">
      <c r="A588" s="31">
        <v>45209.0</v>
      </c>
      <c r="B588" s="32">
        <v>0.013351908674806668</v>
      </c>
      <c r="C588" s="32">
        <v>0.004054970615806132</v>
      </c>
      <c r="D588" s="32">
        <v>0.00821985379696217</v>
      </c>
      <c r="F588" s="17">
        <f t="shared" si="1"/>
        <v>0.008510005306</v>
      </c>
    </row>
    <row r="589">
      <c r="A589" s="31">
        <v>45210.0</v>
      </c>
      <c r="B589" s="32">
        <v>-5.016219027930805E-4</v>
      </c>
      <c r="C589" s="32">
        <v>-0.0015587869934739996</v>
      </c>
      <c r="D589" s="32">
        <v>-0.006019485907806321</v>
      </c>
      <c r="F589" s="17">
        <f t="shared" si="1"/>
        <v>-0.003025917032</v>
      </c>
    </row>
    <row r="590">
      <c r="A590" s="31">
        <v>45211.0</v>
      </c>
      <c r="B590" s="32">
        <v>-0.01933888084573534</v>
      </c>
      <c r="C590" s="32">
        <v>-0.006173681731717757</v>
      </c>
      <c r="D590" s="32">
        <v>0.005495441820541957</v>
      </c>
      <c r="F590" s="17">
        <f t="shared" si="1"/>
        <v>-0.005455592045</v>
      </c>
    </row>
    <row r="591">
      <c r="A591" s="31">
        <v>45212.0</v>
      </c>
      <c r="B591" s="32">
        <v>-0.023439082906857707</v>
      </c>
      <c r="C591" s="32">
        <v>0.005569473759371697</v>
      </c>
      <c r="D591" s="32">
        <v>0.012025369100505395</v>
      </c>
      <c r="F591" s="17">
        <f t="shared" si="1"/>
        <v>-0.000550735104</v>
      </c>
    </row>
    <row r="592">
      <c r="A592" s="31">
        <v>45215.0</v>
      </c>
      <c r="B592" s="32">
        <v>0.0020962162943722242</v>
      </c>
      <c r="C592" s="32">
        <v>-0.001136189693575954</v>
      </c>
      <c r="D592" s="32">
        <v>0.004473525440805998</v>
      </c>
      <c r="F592" s="17">
        <f t="shared" si="1"/>
        <v>0.002077418157</v>
      </c>
    </row>
    <row r="593">
      <c r="A593" s="31">
        <v>45216.0</v>
      </c>
      <c r="B593" s="32">
        <v>0.0057873492041304216</v>
      </c>
      <c r="C593" s="32">
        <v>0.015994882183659874</v>
      </c>
      <c r="D593" s="32">
        <v>-0.004239600888949778</v>
      </c>
      <c r="F593" s="17">
        <f t="shared" si="1"/>
        <v>0.004838829061</v>
      </c>
    </row>
    <row r="594">
      <c r="A594" s="31">
        <v>45217.0</v>
      </c>
      <c r="B594" s="32">
        <v>-0.0013171354740474533</v>
      </c>
      <c r="C594" s="32">
        <v>-0.015043381417633858</v>
      </c>
      <c r="D594" s="32">
        <v>0.021966704298288623</v>
      </c>
      <c r="F594" s="17">
        <f t="shared" si="1"/>
        <v>0.003878526652</v>
      </c>
    </row>
    <row r="595">
      <c r="A595" s="31">
        <v>45218.0</v>
      </c>
      <c r="B595" s="32">
        <v>-0.004789854406509353</v>
      </c>
      <c r="C595" s="32">
        <v>-0.005967112514329246</v>
      </c>
      <c r="D595" s="32">
        <v>0.012505080133198936</v>
      </c>
      <c r="F595" s="17">
        <f t="shared" si="1"/>
        <v>0.001774941977</v>
      </c>
    </row>
    <row r="596">
      <c r="A596" s="31">
        <v>45219.0</v>
      </c>
      <c r="B596" s="32">
        <v>-0.004464146683542364</v>
      </c>
      <c r="C596" s="32">
        <v>-0.010791178076197795</v>
      </c>
      <c r="D596" s="32">
        <v>-0.018126817262962846</v>
      </c>
      <c r="F596" s="17">
        <f t="shared" si="1"/>
        <v>-0.01182732433</v>
      </c>
    </row>
    <row r="597">
      <c r="A597" s="31">
        <v>45222.0</v>
      </c>
      <c r="B597" s="32">
        <v>-0.01303203783499735</v>
      </c>
      <c r="C597" s="32">
        <v>-0.03742228709454536</v>
      </c>
      <c r="D597" s="32">
        <v>-0.030134539415311804</v>
      </c>
      <c r="F597" s="17">
        <f t="shared" si="1"/>
        <v>-0.02719011324</v>
      </c>
    </row>
    <row r="598">
      <c r="A598" s="31">
        <v>45224.0</v>
      </c>
      <c r="B598" s="32">
        <v>-0.027402104385297683</v>
      </c>
      <c r="C598" s="32">
        <v>-0.012233599299304771</v>
      </c>
      <c r="D598" s="32">
        <v>0.028460604168253287</v>
      </c>
      <c r="F598" s="17">
        <f t="shared" si="1"/>
        <v>-0.0005064694381</v>
      </c>
    </row>
    <row r="599">
      <c r="A599" s="31">
        <v>45225.0</v>
      </c>
      <c r="B599" s="32">
        <v>-0.007737015160677455</v>
      </c>
      <c r="C599" s="32">
        <v>-0.01975533810054564</v>
      </c>
      <c r="D599" s="32">
        <v>-0.010834631059275703</v>
      </c>
      <c r="F599" s="17">
        <f t="shared" si="1"/>
        <v>-0.0125815584</v>
      </c>
    </row>
    <row r="600">
      <c r="A600" s="31">
        <v>45226.0</v>
      </c>
      <c r="B600" s="32">
        <v>0.015373883374394203</v>
      </c>
      <c r="C600" s="32">
        <v>0.022168805931362928</v>
      </c>
      <c r="D600" s="32">
        <v>0.01850339626180745</v>
      </c>
      <c r="F600" s="17">
        <f t="shared" si="1"/>
        <v>0.0186641653</v>
      </c>
    </row>
    <row r="601">
      <c r="A601" s="31">
        <v>45229.0</v>
      </c>
      <c r="B601" s="32">
        <v>-0.0023906451678020134</v>
      </c>
      <c r="C601" s="32">
        <v>0.005990766882199773</v>
      </c>
      <c r="D601" s="32">
        <v>0.004952891695776774</v>
      </c>
      <c r="F601" s="17">
        <f t="shared" si="1"/>
        <v>0.003061193193</v>
      </c>
    </row>
    <row r="602">
      <c r="A602" s="31">
        <v>45230.0</v>
      </c>
      <c r="B602" s="32">
        <v>-0.006281561811265666</v>
      </c>
      <c r="C602" s="32">
        <v>0.003090589532771083</v>
      </c>
      <c r="D602" s="32">
        <v>-0.0018391602578786727</v>
      </c>
      <c r="F602" s="17">
        <f t="shared" si="1"/>
        <v>-0.001692955787</v>
      </c>
    </row>
    <row r="603">
      <c r="A603" s="31">
        <v>45231.0</v>
      </c>
      <c r="B603" s="32">
        <v>-0.010413621565385181</v>
      </c>
      <c r="C603" s="32">
        <v>-0.018787105209123807</v>
      </c>
      <c r="D603" s="32">
        <v>-0.018596271491072666</v>
      </c>
      <c r="F603" s="17">
        <f t="shared" si="1"/>
        <v>-0.01619872663</v>
      </c>
    </row>
    <row r="604">
      <c r="A604" s="31">
        <v>45232.0</v>
      </c>
      <c r="B604" s="32">
        <v>0.011815529827882644</v>
      </c>
      <c r="C604" s="32">
        <v>0.0037527948074857786</v>
      </c>
      <c r="D604" s="32">
        <v>0.0018039928611047519</v>
      </c>
      <c r="F604" s="17">
        <f t="shared" si="1"/>
        <v>0.005392094535</v>
      </c>
    </row>
    <row r="605">
      <c r="A605" s="31">
        <v>45233.0</v>
      </c>
      <c r="B605" s="32">
        <v>0.0137941281384818</v>
      </c>
      <c r="C605" s="32">
        <v>0.012665936444363226</v>
      </c>
      <c r="D605" s="32">
        <v>0.01601996819618199</v>
      </c>
      <c r="F605" s="17">
        <f t="shared" si="1"/>
        <v>0.01434600665</v>
      </c>
    </row>
    <row r="606">
      <c r="A606" s="31">
        <v>45236.0</v>
      </c>
      <c r="B606" s="32">
        <v>0.010258809616153722</v>
      </c>
      <c r="C606" s="32">
        <v>0.011904798501680523</v>
      </c>
      <c r="D606" s="32">
        <v>0.028173834580543507</v>
      </c>
      <c r="F606" s="17">
        <f t="shared" si="1"/>
        <v>0.01791861627</v>
      </c>
    </row>
    <row r="607">
      <c r="A607" s="31">
        <v>45237.0</v>
      </c>
      <c r="B607" s="32">
        <v>7.126059752599639E-4</v>
      </c>
      <c r="C607" s="32">
        <v>0.014296315711094519</v>
      </c>
      <c r="D607" s="32">
        <v>0.04335637669838543</v>
      </c>
      <c r="F607" s="17">
        <f t="shared" si="1"/>
        <v>0.02184522719</v>
      </c>
    </row>
    <row r="608">
      <c r="A608" s="31">
        <v>45238.0</v>
      </c>
      <c r="B608" s="32">
        <v>-0.009470945336412179</v>
      </c>
      <c r="C608" s="32">
        <v>-0.006166425118182561</v>
      </c>
      <c r="D608" s="32">
        <v>0.00878095370425614</v>
      </c>
      <c r="F608" s="17">
        <f t="shared" si="1"/>
        <v>-0.001178829655</v>
      </c>
    </row>
    <row r="609">
      <c r="A609" s="31">
        <v>45239.0</v>
      </c>
      <c r="B609" s="32">
        <v>-0.011646262401150291</v>
      </c>
      <c r="C609" s="32">
        <v>-0.009381054476074365</v>
      </c>
      <c r="D609" s="32">
        <v>-0.02329283139338122</v>
      </c>
      <c r="F609" s="17">
        <f t="shared" si="1"/>
        <v>-0.01562532762</v>
      </c>
    </row>
    <row r="610">
      <c r="A610" s="31">
        <v>45240.0</v>
      </c>
      <c r="B610" s="32">
        <v>-0.004327955184703354</v>
      </c>
      <c r="C610" s="32">
        <v>0.0028335307344752804</v>
      </c>
      <c r="D610" s="32">
        <v>5.154582780204016E-4</v>
      </c>
      <c r="F610" s="17">
        <f t="shared" si="1"/>
        <v>-0.0002421440239</v>
      </c>
    </row>
    <row r="611">
      <c r="A611" s="31">
        <v>45243.0</v>
      </c>
      <c r="B611" s="32">
        <v>0.0034335924918042116</v>
      </c>
      <c r="C611" s="32">
        <v>-0.002156311954976982</v>
      </c>
      <c r="D611" s="32">
        <v>0.003941626776819166</v>
      </c>
      <c r="F611" s="17">
        <f t="shared" si="1"/>
        <v>0.001959834872</v>
      </c>
    </row>
    <row r="612">
      <c r="A612" s="31">
        <v>45245.0</v>
      </c>
      <c r="B612" s="32">
        <v>0.0269010590672696</v>
      </c>
      <c r="C612" s="32">
        <v>0.009463451564828569</v>
      </c>
      <c r="D612" s="32">
        <v>0.013348938715319211</v>
      </c>
      <c r="F612" s="17">
        <f t="shared" si="1"/>
        <v>0.01624892868</v>
      </c>
    </row>
    <row r="613">
      <c r="A613" s="31">
        <v>45246.0</v>
      </c>
      <c r="B613" s="32">
        <v>0.0243885317263382</v>
      </c>
      <c r="C613" s="32">
        <v>0.0033956567232535945</v>
      </c>
      <c r="D613" s="32">
        <v>0.03226460734006519</v>
      </c>
      <c r="F613" s="17">
        <f t="shared" si="1"/>
        <v>0.02124109947</v>
      </c>
    </row>
    <row r="614">
      <c r="A614" s="31">
        <v>45247.0</v>
      </c>
      <c r="B614" s="32">
        <v>-0.005086839835224535</v>
      </c>
      <c r="C614" s="32">
        <v>0.04075619954660656</v>
      </c>
      <c r="D614" s="32">
        <v>-0.018033818403595567</v>
      </c>
      <c r="F614" s="17">
        <f t="shared" si="1"/>
        <v>0.003487280552</v>
      </c>
    </row>
    <row r="615">
      <c r="A615" s="31">
        <v>45250.0</v>
      </c>
      <c r="B615" s="32">
        <v>-6.608973375646102E-4</v>
      </c>
      <c r="C615" s="32">
        <v>-0.00855303344210474</v>
      </c>
      <c r="D615" s="32">
        <v>-0.0026363873342677858</v>
      </c>
      <c r="F615" s="17">
        <f t="shared" si="1"/>
        <v>-0.003818734168</v>
      </c>
    </row>
    <row r="616">
      <c r="A616" s="31">
        <v>45251.0</v>
      </c>
      <c r="B616" s="32">
        <v>0.0016706278992726577</v>
      </c>
      <c r="C616" s="32">
        <v>0.01090834754156595</v>
      </c>
      <c r="D616" s="32">
        <v>0.016723574992323614</v>
      </c>
      <c r="F616" s="17">
        <f t="shared" si="1"/>
        <v>0.01046312263</v>
      </c>
    </row>
    <row r="617">
      <c r="A617" s="31">
        <v>45252.0</v>
      </c>
      <c r="B617" s="32">
        <v>0.013064662265462088</v>
      </c>
      <c r="C617" s="32">
        <v>-0.01262432026025555</v>
      </c>
      <c r="D617" s="32">
        <v>-0.003983000029679822</v>
      </c>
      <c r="F617" s="17">
        <f t="shared" si="1"/>
        <v>-0.00146109741</v>
      </c>
    </row>
    <row r="618">
      <c r="A618" s="31">
        <v>45253.0</v>
      </c>
      <c r="B618" s="32">
        <v>-0.005865035473050628</v>
      </c>
      <c r="C618" s="32">
        <v>0.0</v>
      </c>
      <c r="D618" s="32">
        <v>-0.0011145316021627704</v>
      </c>
      <c r="F618" s="17">
        <f t="shared" si="1"/>
        <v>-0.002205323283</v>
      </c>
    </row>
    <row r="619">
      <c r="A619" s="31">
        <v>45254.0</v>
      </c>
      <c r="B619" s="32">
        <v>-0.00817662653096427</v>
      </c>
      <c r="C619" s="32">
        <v>-0.01028573142857145</v>
      </c>
      <c r="D619" s="32">
        <v>-0.005465142402986856</v>
      </c>
      <c r="F619" s="17">
        <f t="shared" si="1"/>
        <v>-0.007724764349</v>
      </c>
    </row>
    <row r="620">
      <c r="A620" s="31">
        <v>45258.0</v>
      </c>
      <c r="B620" s="32">
        <v>0.003687162175809192</v>
      </c>
      <c r="C620" s="32">
        <v>0.005773672155433121</v>
      </c>
      <c r="D620" s="32">
        <v>-0.00340145666692085</v>
      </c>
      <c r="F620" s="17">
        <f t="shared" si="1"/>
        <v>0.001477667633</v>
      </c>
    </row>
    <row r="621">
      <c r="A621" s="31">
        <v>45259.0</v>
      </c>
      <c r="B621" s="32">
        <v>0.011714164811807022</v>
      </c>
      <c r="C621" s="32">
        <v>0.005310005831974864</v>
      </c>
      <c r="D621" s="32">
        <v>0.009914233712976518</v>
      </c>
      <c r="F621" s="17">
        <f t="shared" si="1"/>
        <v>0.009072944678</v>
      </c>
    </row>
    <row r="622">
      <c r="A622" s="31">
        <v>45260.0</v>
      </c>
      <c r="B622" s="32">
        <v>-0.003048747652212855</v>
      </c>
      <c r="C622" s="32">
        <v>0.007494646680942184</v>
      </c>
      <c r="D622" s="32">
        <v>-0.016182773322641075</v>
      </c>
      <c r="F622" s="17">
        <f t="shared" si="1"/>
        <v>-0.00513933962</v>
      </c>
    </row>
    <row r="623">
      <c r="A623" s="31">
        <v>45261.0</v>
      </c>
      <c r="B623" s="32">
        <v>-0.0019585437604336567</v>
      </c>
      <c r="C623" s="32">
        <v>-0.006305365922777209</v>
      </c>
      <c r="D623" s="32">
        <v>0.02065362047153153</v>
      </c>
      <c r="F623" s="17">
        <f t="shared" si="1"/>
        <v>0.005782275284</v>
      </c>
    </row>
    <row r="624">
      <c r="A624" s="31">
        <v>45264.0</v>
      </c>
      <c r="B624" s="32">
        <v>0.008297133232417887</v>
      </c>
      <c r="C624" s="32">
        <v>0.02787678359407014</v>
      </c>
      <c r="D624" s="32">
        <v>-0.0024278271451042576</v>
      </c>
      <c r="F624" s="17">
        <f t="shared" si="1"/>
        <v>0.00988104419</v>
      </c>
    </row>
    <row r="625">
      <c r="A625" s="31">
        <v>45265.0</v>
      </c>
      <c r="B625" s="32">
        <v>-0.007102144412504784</v>
      </c>
      <c r="C625" s="32">
        <v>-0.007976694446057664</v>
      </c>
      <c r="D625" s="32">
        <v>-0.0012734084172316869</v>
      </c>
      <c r="F625" s="17">
        <f t="shared" si="1"/>
        <v>-0.005033015024</v>
      </c>
    </row>
    <row r="626">
      <c r="A626" s="31">
        <v>45266.0</v>
      </c>
      <c r="B626" s="32">
        <v>0.013996422632019393</v>
      </c>
      <c r="C626" s="32">
        <v>0.03551954251498959</v>
      </c>
      <c r="D626" s="32">
        <v>0.0074415460861577305</v>
      </c>
      <c r="F626" s="17">
        <f t="shared" si="1"/>
        <v>0.01783140798</v>
      </c>
    </row>
    <row r="627">
      <c r="A627" s="31">
        <v>45267.0</v>
      </c>
      <c r="B627" s="32">
        <v>-0.005697635976948892</v>
      </c>
      <c r="C627" s="32">
        <v>0.023362576637407137</v>
      </c>
      <c r="D627" s="32">
        <v>-0.01053865812551105</v>
      </c>
      <c r="F627" s="17">
        <f t="shared" si="1"/>
        <v>0.001084018948</v>
      </c>
    </row>
    <row r="628">
      <c r="A628" s="31">
        <v>45268.0</v>
      </c>
      <c r="B628" s="32">
        <v>0.017224912740706796</v>
      </c>
      <c r="C628" s="32">
        <v>-0.01088677768625143</v>
      </c>
      <c r="D628" s="32">
        <v>4.7745667081978616E-5</v>
      </c>
      <c r="F628" s="17">
        <f t="shared" si="1"/>
        <v>0.001920538783</v>
      </c>
    </row>
    <row r="629">
      <c r="A629" s="31">
        <v>45271.0</v>
      </c>
      <c r="B629" s="32">
        <v>-0.0017771679290131777</v>
      </c>
      <c r="C629" s="32">
        <v>0.01674336361939877</v>
      </c>
      <c r="D629" s="32">
        <v>0.009610547016468511</v>
      </c>
      <c r="F629" s="17">
        <f t="shared" si="1"/>
        <v>0.008334077514</v>
      </c>
    </row>
    <row r="630">
      <c r="A630" s="31">
        <v>45272.0</v>
      </c>
      <c r="B630" s="32">
        <v>-0.008364092038965439</v>
      </c>
      <c r="C630" s="32">
        <v>0.011153392294556377</v>
      </c>
      <c r="D630" s="32">
        <v>0.053947064200088705</v>
      </c>
      <c r="F630" s="17">
        <f t="shared" si="1"/>
        <v>0.02241561576</v>
      </c>
    </row>
    <row r="631">
      <c r="A631" s="31">
        <v>45273.0</v>
      </c>
      <c r="B631" s="32">
        <v>-0.01832597005658847</v>
      </c>
      <c r="C631" s="32">
        <v>0.009538069334172995</v>
      </c>
      <c r="D631" s="32">
        <v>-0.00484732350449856</v>
      </c>
      <c r="F631" s="17">
        <f t="shared" si="1"/>
        <v>-0.004575299619</v>
      </c>
    </row>
    <row r="632">
      <c r="A632" s="31">
        <v>45274.0</v>
      </c>
      <c r="B632" s="32">
        <v>0.03619734368530025</v>
      </c>
      <c r="C632" s="32">
        <v>0.016839097368636546</v>
      </c>
      <c r="D632" s="32">
        <v>0.014324864230280707</v>
      </c>
      <c r="F632" s="17">
        <f t="shared" si="1"/>
        <v>0.02164087801</v>
      </c>
    </row>
    <row r="633">
      <c r="A633" s="31">
        <v>45275.0</v>
      </c>
      <c r="B633" s="32">
        <v>0.05125050818293974</v>
      </c>
      <c r="C633" s="32">
        <v>-0.012894269837217942</v>
      </c>
      <c r="D633" s="32">
        <v>0.007561969923519315</v>
      </c>
      <c r="F633" s="17">
        <f t="shared" si="1"/>
        <v>0.01453165947</v>
      </c>
    </row>
    <row r="634">
      <c r="A634" s="31">
        <v>45278.0</v>
      </c>
      <c r="B634" s="32">
        <v>-0.008901449433835069</v>
      </c>
      <c r="C634" s="32">
        <v>0.125888520229653</v>
      </c>
      <c r="D634" s="32">
        <v>0.003727799047624086</v>
      </c>
      <c r="F634" s="17">
        <f t="shared" si="1"/>
        <v>0.03658724086</v>
      </c>
    </row>
    <row r="635">
      <c r="A635" s="31">
        <v>45279.0</v>
      </c>
      <c r="B635" s="32">
        <v>-0.0038673743681509956</v>
      </c>
      <c r="C635" s="32">
        <v>0.00335545915881126</v>
      </c>
      <c r="D635" s="32">
        <v>-0.02053399693296655</v>
      </c>
      <c r="F635" s="17">
        <f t="shared" si="1"/>
        <v>-0.008367173336</v>
      </c>
    </row>
    <row r="636">
      <c r="A636" s="31">
        <v>45280.0</v>
      </c>
      <c r="B636" s="32">
        <v>-0.014053792152579157</v>
      </c>
      <c r="C636" s="32">
        <v>-0.0758983718643701</v>
      </c>
      <c r="D636" s="32">
        <v>-0.03285120815661593</v>
      </c>
      <c r="F636" s="17">
        <f t="shared" si="1"/>
        <v>-0.04012613247</v>
      </c>
    </row>
    <row r="637">
      <c r="A637" s="31">
        <v>45281.0</v>
      </c>
      <c r="B637" s="32">
        <v>-2.603644843473592E-4</v>
      </c>
      <c r="C637" s="32">
        <v>0.0651413536608078</v>
      </c>
      <c r="D637" s="32">
        <v>0.01883062298382062</v>
      </c>
      <c r="F637" s="17">
        <f t="shared" si="1"/>
        <v>0.02699654595</v>
      </c>
    </row>
    <row r="638">
      <c r="A638" s="31">
        <v>45282.0</v>
      </c>
      <c r="B638" s="32">
        <v>0.017513036458333353</v>
      </c>
      <c r="C638" s="32">
        <v>-0.008465276130146812</v>
      </c>
      <c r="D638" s="32">
        <v>0.011424749445259211</v>
      </c>
      <c r="F638" s="17">
        <f t="shared" si="1"/>
        <v>0.007284227877</v>
      </c>
    </row>
    <row r="639">
      <c r="A639" s="31">
        <v>45286.0</v>
      </c>
      <c r="B639" s="32">
        <v>-0.012124942548468458</v>
      </c>
      <c r="C639" s="32">
        <v>0.010337976247982952</v>
      </c>
      <c r="D639" s="32">
        <v>-0.001166835073389903</v>
      </c>
      <c r="F639" s="17">
        <f t="shared" si="1"/>
        <v>-0.00100282392</v>
      </c>
    </row>
    <row r="640">
      <c r="A640" s="31">
        <v>45287.0</v>
      </c>
      <c r="B640" s="32">
        <v>0.014994025541440567</v>
      </c>
      <c r="C640" s="32">
        <v>-0.002644272282974537</v>
      </c>
      <c r="D640" s="32">
        <v>-0.006636322279616198</v>
      </c>
      <c r="F640" s="17">
        <f t="shared" si="1"/>
        <v>0.001050397066</v>
      </c>
    </row>
    <row r="641">
      <c r="A641" s="31">
        <v>45288.0</v>
      </c>
      <c r="B641" s="32">
        <v>-0.002839609513209475</v>
      </c>
      <c r="C641" s="32">
        <v>-0.003861643804034547</v>
      </c>
      <c r="D641" s="32">
        <v>-0.004947998068511113</v>
      </c>
      <c r="F641" s="17">
        <f t="shared" si="1"/>
        <v>-0.003989575223</v>
      </c>
    </row>
    <row r="642">
      <c r="A642" s="31">
        <v>45289.0</v>
      </c>
      <c r="B642" s="32">
        <v>-0.012638786482365933</v>
      </c>
      <c r="C642" s="32">
        <v>0.027020743333335796</v>
      </c>
      <c r="D642" s="32">
        <v>-5.138188616976944E-4</v>
      </c>
      <c r="F642" s="17">
        <f t="shared" si="1"/>
        <v>0.004109059511</v>
      </c>
    </row>
    <row r="643">
      <c r="A643" s="31">
        <v>45292.0</v>
      </c>
      <c r="B643" s="32">
        <v>0.0054766685258668055</v>
      </c>
      <c r="C643" s="32">
        <v>0.00490138140845067</v>
      </c>
      <c r="D643" s="32">
        <v>-0.0010567261815556603</v>
      </c>
      <c r="F643" s="17">
        <f t="shared" si="1"/>
        <v>0.002690724508</v>
      </c>
    </row>
    <row r="644">
      <c r="A644" s="31">
        <v>45293.0</v>
      </c>
      <c r="B644" s="32">
        <v>-0.01092593693378182</v>
      </c>
      <c r="C644" s="32">
        <v>-0.00633510584968604</v>
      </c>
      <c r="D644" s="32">
        <v>-0.0037453396845519046</v>
      </c>
      <c r="F644" s="17">
        <f t="shared" si="1"/>
        <v>-0.006676448709</v>
      </c>
    </row>
    <row r="645">
      <c r="A645" s="31">
        <v>45294.0</v>
      </c>
      <c r="B645" s="32">
        <v>-0.028936407263768414</v>
      </c>
      <c r="C645" s="32">
        <v>0.014725781791120067</v>
      </c>
      <c r="D645" s="32">
        <v>-0.011926876429785854</v>
      </c>
      <c r="F645" s="17">
        <f t="shared" si="1"/>
        <v>-0.009033938214</v>
      </c>
    </row>
    <row r="646">
      <c r="A646" s="31">
        <v>45295.0</v>
      </c>
      <c r="B646" s="32">
        <v>0.015234866442953058</v>
      </c>
      <c r="C646" s="32">
        <v>0.002557673616902958</v>
      </c>
      <c r="D646" s="32">
        <v>0.003729352339193192</v>
      </c>
      <c r="F646" s="17">
        <f t="shared" si="1"/>
        <v>0.006829502954</v>
      </c>
    </row>
    <row r="647">
      <c r="A647" s="31">
        <v>45296.0</v>
      </c>
      <c r="B647" s="32">
        <v>0.01312229698089009</v>
      </c>
      <c r="C647" s="32">
        <v>0.004825063565970615</v>
      </c>
      <c r="D647" s="32">
        <v>7.175311175159756E-4</v>
      </c>
      <c r="F647" s="17">
        <f t="shared" si="1"/>
        <v>0.005671220611</v>
      </c>
    </row>
    <row r="648">
      <c r="A648" s="31">
        <v>45299.0</v>
      </c>
      <c r="B648" s="32">
        <v>-0.006361945573237198</v>
      </c>
      <c r="C648" s="32">
        <v>0.011756224437410936</v>
      </c>
      <c r="D648" s="32">
        <v>-0.007136281660020436</v>
      </c>
      <c r="F648" s="17">
        <f t="shared" si="1"/>
        <v>-0.001236229005</v>
      </c>
    </row>
    <row r="649">
      <c r="A649" s="31">
        <v>45300.0</v>
      </c>
      <c r="B649" s="32">
        <v>0.004268452712664708</v>
      </c>
      <c r="C649" s="32">
        <v>0.002454857923144722</v>
      </c>
      <c r="D649" s="32">
        <v>0.006925463242388057</v>
      </c>
      <c r="F649" s="17">
        <f t="shared" si="1"/>
        <v>0.004787178488</v>
      </c>
    </row>
    <row r="650">
      <c r="A650" s="31">
        <v>45301.0</v>
      </c>
      <c r="B650" s="32">
        <v>-0.0061466191713957855</v>
      </c>
      <c r="C650" s="32">
        <v>0.02492384011654997</v>
      </c>
      <c r="D650" s="32">
        <v>0.012940278478833766</v>
      </c>
      <c r="F650" s="17">
        <f t="shared" si="1"/>
        <v>0.01080927768</v>
      </c>
    </row>
    <row r="651">
      <c r="A651" s="31">
        <v>45302.0</v>
      </c>
      <c r="B651" s="32">
        <v>-0.016909054933997403</v>
      </c>
      <c r="C651" s="32">
        <v>-0.0014866985050012193</v>
      </c>
      <c r="D651" s="32">
        <v>-0.003957579476585542</v>
      </c>
      <c r="F651" s="17">
        <f t="shared" si="1"/>
        <v>-0.007101757822</v>
      </c>
    </row>
    <row r="652">
      <c r="A652" s="31">
        <v>45303.0</v>
      </c>
      <c r="B652" s="32">
        <v>0.07934015050707222</v>
      </c>
      <c r="C652" s="32">
        <v>0.011592070763697629</v>
      </c>
      <c r="D652" s="32">
        <v>0.001886317237848741</v>
      </c>
      <c r="F652" s="17">
        <f t="shared" si="1"/>
        <v>0.02803419328</v>
      </c>
    </row>
    <row r="653">
      <c r="A653" s="31">
        <v>45306.0</v>
      </c>
      <c r="B653" s="32">
        <v>0.02439930305379009</v>
      </c>
      <c r="C653" s="32">
        <v>0.01703113098783268</v>
      </c>
      <c r="D653" s="32">
        <v>-0.002357676500043009</v>
      </c>
      <c r="F653" s="17">
        <f t="shared" si="1"/>
        <v>0.01148605961</v>
      </c>
    </row>
    <row r="654">
      <c r="A654" s="31">
        <v>45307.0</v>
      </c>
      <c r="B654" s="32">
        <v>-0.012438670358046192</v>
      </c>
      <c r="C654" s="32">
        <v>-0.018348149224358505</v>
      </c>
      <c r="D654" s="32">
        <v>-0.012860511890639009</v>
      </c>
      <c r="F654" s="17">
        <f t="shared" si="1"/>
        <v>-0.01438025063</v>
      </c>
    </row>
    <row r="655">
      <c r="A655" s="31">
        <v>45308.0</v>
      </c>
      <c r="B655" s="32">
        <v>0.005301646740963759</v>
      </c>
      <c r="C655" s="32">
        <v>-0.015742654264388263</v>
      </c>
      <c r="D655" s="32">
        <v>-7.84468700044906E-4</v>
      </c>
      <c r="F655" s="17">
        <f t="shared" si="1"/>
        <v>-0.003446089737</v>
      </c>
    </row>
    <row r="656">
      <c r="A656" s="31">
        <v>45309.0</v>
      </c>
      <c r="B656" s="32">
        <v>0.001463251476465819</v>
      </c>
      <c r="C656" s="32">
        <v>-0.00797048454515267</v>
      </c>
      <c r="D656" s="32">
        <v>-0.033392218533983546</v>
      </c>
      <c r="F656" s="17">
        <f t="shared" si="1"/>
        <v>-0.01530905733</v>
      </c>
    </row>
    <row r="657">
      <c r="A657" s="31">
        <v>45310.0</v>
      </c>
      <c r="B657" s="32">
        <v>0.010105914551651062</v>
      </c>
      <c r="C657" s="32">
        <v>0.060986775950390926</v>
      </c>
      <c r="D657" s="32">
        <v>-4.091580637266484E-4</v>
      </c>
      <c r="F657" s="17">
        <f t="shared" si="1"/>
        <v>0.02116414393</v>
      </c>
    </row>
    <row r="658">
      <c r="A658" s="31">
        <v>45314.0</v>
      </c>
      <c r="B658" s="32">
        <v>-0.010275992950532593</v>
      </c>
      <c r="C658" s="32">
        <v>-0.049247827394769204</v>
      </c>
      <c r="D658" s="32">
        <v>-0.013433921083819739</v>
      </c>
      <c r="F658" s="17">
        <f t="shared" si="1"/>
        <v>-0.02323071454</v>
      </c>
    </row>
    <row r="659">
      <c r="A659" s="31">
        <v>45315.0</v>
      </c>
      <c r="B659" s="32">
        <v>0.020247845515970957</v>
      </c>
      <c r="C659" s="32">
        <v>0.037686428507483063</v>
      </c>
      <c r="D659" s="32">
        <v>-0.05213099428169104</v>
      </c>
      <c r="F659" s="17">
        <f t="shared" si="1"/>
        <v>-0.003472115506</v>
      </c>
    </row>
    <row r="660">
      <c r="A660" s="31">
        <v>45316.0</v>
      </c>
      <c r="B660" s="32">
        <v>-0.003760324644713065</v>
      </c>
      <c r="C660" s="32">
        <v>-3.090748067358131E-4</v>
      </c>
      <c r="D660" s="32">
        <v>-0.013039961698563769</v>
      </c>
      <c r="F660" s="17">
        <f t="shared" si="1"/>
        <v>-0.006436804515</v>
      </c>
    </row>
    <row r="661">
      <c r="A661" s="31">
        <v>45320.0</v>
      </c>
      <c r="B661" s="32">
        <v>-0.007489066071378339</v>
      </c>
      <c r="C661" s="32">
        <v>0.0118520046812574</v>
      </c>
      <c r="D661" s="32">
        <v>0.003501965964301279</v>
      </c>
      <c r="F661" s="17">
        <f t="shared" si="1"/>
        <v>0.002709667969</v>
      </c>
    </row>
    <row r="662">
      <c r="A662" s="31">
        <v>45321.0</v>
      </c>
      <c r="B662" s="32">
        <v>-0.003108792149348621</v>
      </c>
      <c r="C662" s="32">
        <v>-0.018079038721683097</v>
      </c>
      <c r="D662" s="32">
        <v>-0.012893188848453386</v>
      </c>
      <c r="F662" s="17">
        <f t="shared" si="1"/>
        <v>-0.0115136248</v>
      </c>
    </row>
    <row r="663">
      <c r="A663" s="31">
        <v>45322.0</v>
      </c>
      <c r="B663" s="32">
        <v>0.005722288461892343</v>
      </c>
      <c r="C663" s="32">
        <v>0.01364039641479673</v>
      </c>
      <c r="D663" s="32">
        <v>0.001362787336828355</v>
      </c>
      <c r="F663" s="17">
        <f t="shared" si="1"/>
        <v>0.006353920398</v>
      </c>
    </row>
    <row r="664">
      <c r="A664" s="31">
        <v>45323.0</v>
      </c>
      <c r="B664" s="32">
        <v>-0.002318005264837112</v>
      </c>
      <c r="C664" s="32">
        <v>-0.01422433875287348</v>
      </c>
      <c r="D664" s="32">
        <v>0.004700762044229855</v>
      </c>
      <c r="F664" s="17">
        <f t="shared" si="1"/>
        <v>-0.003082398388</v>
      </c>
    </row>
    <row r="665">
      <c r="A665" s="31">
        <v>45324.0</v>
      </c>
      <c r="B665" s="32">
        <v>0.021906355225604912</v>
      </c>
      <c r="C665" s="32">
        <v>0.004360024968670523</v>
      </c>
      <c r="D665" s="32">
        <v>1.3100289400949804E-5</v>
      </c>
      <c r="F665" s="17">
        <f t="shared" si="1"/>
        <v>0.007885154174</v>
      </c>
    </row>
    <row r="666">
      <c r="A666" s="31">
        <v>45327.0</v>
      </c>
      <c r="B666" s="32">
        <v>-0.0036318688322938353</v>
      </c>
      <c r="C666" s="32">
        <v>-0.021550362790697643</v>
      </c>
      <c r="D666" s="32">
        <v>-0.005234916895694281</v>
      </c>
      <c r="F666" s="17">
        <f t="shared" si="1"/>
        <v>-0.009648636245</v>
      </c>
    </row>
    <row r="667">
      <c r="A667" s="31">
        <v>45328.0</v>
      </c>
      <c r="B667" s="32">
        <v>0.025041489584538282</v>
      </c>
      <c r="C667" s="32">
        <v>0.019648207392851627</v>
      </c>
      <c r="D667" s="32">
        <v>0.015892620049993377</v>
      </c>
      <c r="F667" s="17">
        <f t="shared" si="1"/>
        <v>0.01976395711</v>
      </c>
    </row>
    <row r="668">
      <c r="A668" s="31">
        <v>45329.0</v>
      </c>
      <c r="B668" s="32">
        <v>-0.02064237301539584</v>
      </c>
      <c r="C668" s="32">
        <v>-0.010878010878010878</v>
      </c>
      <c r="D668" s="32">
        <v>0.008851575892415987</v>
      </c>
      <c r="F668" s="17">
        <f t="shared" si="1"/>
        <v>-0.005915484811</v>
      </c>
    </row>
    <row r="669">
      <c r="A669" s="31">
        <v>45330.0</v>
      </c>
      <c r="B669" s="32">
        <v>-9.741839114391323E-4</v>
      </c>
      <c r="C669" s="32">
        <v>-0.010892929039015481</v>
      </c>
      <c r="D669" s="32">
        <v>-0.008183411205429201</v>
      </c>
      <c r="F669" s="17">
        <f t="shared" si="1"/>
        <v>-0.006833498367</v>
      </c>
    </row>
    <row r="670">
      <c r="A670" s="31">
        <v>45331.0</v>
      </c>
      <c r="B670" s="32">
        <v>-0.013444832056424544</v>
      </c>
      <c r="C670" s="32">
        <v>-0.005506382307569349</v>
      </c>
      <c r="D670" s="32">
        <v>-0.01256080519141633</v>
      </c>
      <c r="F670" s="17">
        <f t="shared" si="1"/>
        <v>-0.01070968639</v>
      </c>
    </row>
    <row r="671">
      <c r="A671" s="31">
        <v>45334.0</v>
      </c>
      <c r="B671" s="32">
        <v>0.006439632284752254</v>
      </c>
      <c r="C671" s="32">
        <v>-0.04158020231280967</v>
      </c>
      <c r="D671" s="32">
        <v>-0.017137763809564267</v>
      </c>
      <c r="F671" s="17">
        <f t="shared" si="1"/>
        <v>-0.01739727653</v>
      </c>
    </row>
    <row r="672">
      <c r="A672" s="31">
        <v>45335.0</v>
      </c>
      <c r="B672" s="32">
        <v>0.0026486953535912526</v>
      </c>
      <c r="C672" s="32">
        <v>0.011498762666337462</v>
      </c>
      <c r="D672" s="32">
        <v>-0.007374748923435687</v>
      </c>
      <c r="F672" s="17">
        <f t="shared" si="1"/>
        <v>0.001294337837</v>
      </c>
    </row>
    <row r="673">
      <c r="A673" s="31">
        <v>45336.0</v>
      </c>
      <c r="B673" s="32">
        <v>-0.01089317471504813</v>
      </c>
      <c r="C673" s="32">
        <v>0.02059421138214011</v>
      </c>
      <c r="D673" s="32">
        <v>-0.0018472989615121382</v>
      </c>
      <c r="F673" s="17">
        <f t="shared" si="1"/>
        <v>0.002171391416</v>
      </c>
    </row>
    <row r="674">
      <c r="A674" s="31">
        <v>45337.0</v>
      </c>
      <c r="B674" s="32">
        <v>0.006091720860937604</v>
      </c>
      <c r="C674" s="32">
        <v>0.023999125820071538</v>
      </c>
      <c r="D674" s="32">
        <v>0.00547144727028325</v>
      </c>
      <c r="F674" s="17">
        <f t="shared" si="1"/>
        <v>0.01121583291</v>
      </c>
    </row>
    <row r="675">
      <c r="A675" s="31">
        <v>45338.0</v>
      </c>
      <c r="B675" s="32">
        <v>0.015092342507361996</v>
      </c>
      <c r="C675" s="32">
        <v>-0.011403022595901176</v>
      </c>
      <c r="D675" s="32">
        <v>0.00578967080814626</v>
      </c>
      <c r="F675" s="17">
        <f t="shared" si="1"/>
        <v>0.003422664297</v>
      </c>
    </row>
    <row r="676">
      <c r="A676" s="31">
        <v>45341.0</v>
      </c>
      <c r="B676" s="32">
        <v>-0.0011165774237958288</v>
      </c>
      <c r="C676" s="32">
        <v>0.0066974834840380386</v>
      </c>
      <c r="D676" s="32">
        <v>0.025980036059851695</v>
      </c>
      <c r="F676" s="17">
        <f t="shared" si="1"/>
        <v>0.01206628624</v>
      </c>
    </row>
    <row r="677">
      <c r="A677" s="31">
        <v>45342.0</v>
      </c>
      <c r="B677" s="32">
        <v>-0.008530666274452125</v>
      </c>
      <c r="C677" s="32">
        <v>0.005227321334043148</v>
      </c>
      <c r="D677" s="32">
        <v>0.00877584322287718</v>
      </c>
      <c r="F677" s="17">
        <f t="shared" si="1"/>
        <v>0.002519333807</v>
      </c>
    </row>
    <row r="678">
      <c r="A678" s="31">
        <v>45343.0</v>
      </c>
      <c r="B678" s="32">
        <v>-0.01762346892152503</v>
      </c>
      <c r="C678" s="32">
        <v>-0.027471397563490374</v>
      </c>
      <c r="D678" s="32">
        <v>-0.0038706853844094175</v>
      </c>
      <c r="F678" s="17">
        <f t="shared" si="1"/>
        <v>-0.0150767341</v>
      </c>
    </row>
    <row r="679">
      <c r="A679" s="31">
        <v>45344.0</v>
      </c>
      <c r="B679" s="32">
        <v>0.015583900357215975</v>
      </c>
      <c r="C679" s="32">
        <v>0.01069405779098032</v>
      </c>
      <c r="D679" s="32">
        <v>0.005789885217393261</v>
      </c>
      <c r="F679" s="17">
        <f t="shared" si="1"/>
        <v>0.01019934153</v>
      </c>
    </row>
    <row r="680">
      <c r="A680" s="31">
        <v>45345.0</v>
      </c>
      <c r="B680" s="32">
        <v>-0.002676420771543164</v>
      </c>
      <c r="C680" s="32">
        <v>0.031208198846794384</v>
      </c>
      <c r="D680" s="32">
        <v>0.0027274886609456096</v>
      </c>
      <c r="F680" s="17">
        <f t="shared" si="1"/>
        <v>0.009650528887</v>
      </c>
    </row>
    <row r="681">
      <c r="A681" s="31">
        <v>45348.0</v>
      </c>
      <c r="B681" s="32">
        <v>-0.009959121113408383</v>
      </c>
      <c r="C681" s="32">
        <v>0.0036793782332021955</v>
      </c>
      <c r="D681" s="32">
        <v>-0.013491533304001196</v>
      </c>
      <c r="F681" s="17">
        <f t="shared" si="1"/>
        <v>-0.007280536186</v>
      </c>
    </row>
    <row r="682">
      <c r="A682" s="31">
        <v>45349.0</v>
      </c>
      <c r="B682" s="32">
        <v>0.00207809652749789</v>
      </c>
      <c r="C682" s="32">
        <v>-0.016160701788665</v>
      </c>
      <c r="D682" s="32">
        <v>-0.00860265539231863</v>
      </c>
      <c r="F682" s="17">
        <f t="shared" si="1"/>
        <v>-0.007665843735</v>
      </c>
    </row>
    <row r="683">
      <c r="A683" s="31">
        <v>45350.0</v>
      </c>
      <c r="B683" s="32">
        <v>0.004598475661435108</v>
      </c>
      <c r="C683" s="32">
        <v>-0.03012333980582526</v>
      </c>
      <c r="D683" s="32">
        <v>-0.006144830955397003</v>
      </c>
      <c r="F683" s="17">
        <f t="shared" si="1"/>
        <v>-0.01011539163</v>
      </c>
    </row>
    <row r="684">
      <c r="A684" s="31">
        <v>45351.0</v>
      </c>
      <c r="B684" s="32">
        <v>0.0015856538519072733</v>
      </c>
      <c r="C684" s="32">
        <v>0.0036253839548776074</v>
      </c>
      <c r="D684" s="32">
        <v>0.028629171189830754</v>
      </c>
      <c r="F684" s="17">
        <f t="shared" si="1"/>
        <v>0.01301497982</v>
      </c>
    </row>
    <row r="685">
      <c r="A685" s="31">
        <v>45352.0</v>
      </c>
      <c r="B685" s="32">
        <v>-0.011470262694733061</v>
      </c>
      <c r="C685" s="32">
        <v>0.0020486995372343817</v>
      </c>
      <c r="D685" s="32">
        <v>-0.008423938733290365</v>
      </c>
      <c r="F685" s="17">
        <f t="shared" si="1"/>
        <v>-0.006196044441</v>
      </c>
    </row>
    <row r="686">
      <c r="A686" s="31">
        <v>45355.0</v>
      </c>
      <c r="B686" s="32">
        <v>-0.010575935528023715</v>
      </c>
      <c r="C686" s="32">
        <v>0.009361898323838153</v>
      </c>
      <c r="D686" s="32">
        <v>-0.0067589939640424635</v>
      </c>
      <c r="F686" s="17">
        <f t="shared" si="1"/>
        <v>-0.003067808747</v>
      </c>
    </row>
    <row r="687">
      <c r="A687" s="31">
        <v>45356.0</v>
      </c>
      <c r="B687" s="32">
        <v>-0.01875149762938153</v>
      </c>
      <c r="C687" s="32">
        <v>-0.0023454285714285877</v>
      </c>
      <c r="D687" s="32">
        <v>-0.0039581571823238525</v>
      </c>
      <c r="F687" s="17">
        <f t="shared" si="1"/>
        <v>-0.007912340733</v>
      </c>
    </row>
    <row r="688">
      <c r="A688" s="31">
        <v>45357.0</v>
      </c>
      <c r="B688" s="32">
        <v>0.006878337379396168</v>
      </c>
      <c r="C688" s="32">
        <v>-0.007213079810383584</v>
      </c>
      <c r="D688" s="32">
        <v>-0.007850020355010047</v>
      </c>
      <c r="F688" s="17">
        <f t="shared" si="1"/>
        <v>-0.003240430871</v>
      </c>
    </row>
    <row r="689">
      <c r="A689" s="31">
        <v>45358.0</v>
      </c>
      <c r="B689" s="32">
        <v>-6.801013672992625E-4</v>
      </c>
      <c r="C689" s="32">
        <v>0.008772427862084027</v>
      </c>
      <c r="D689" s="32">
        <v>0.01110850626338859</v>
      </c>
      <c r="F689" s="17">
        <f t="shared" si="1"/>
        <v>0.006871100454</v>
      </c>
    </row>
    <row r="690">
      <c r="A690" s="31">
        <v>45362.0</v>
      </c>
      <c r="B690" s="32">
        <v>-0.00980542267342992</v>
      </c>
      <c r="C690" s="32">
        <v>0.0014937729215478866</v>
      </c>
      <c r="D690" s="32">
        <v>0.0021075480534686764</v>
      </c>
      <c r="F690" s="17">
        <f t="shared" si="1"/>
        <v>-0.001650475704</v>
      </c>
    </row>
    <row r="691">
      <c r="A691" s="31">
        <v>45363.0</v>
      </c>
      <c r="B691" s="32">
        <v>0.007715841050343791</v>
      </c>
      <c r="C691" s="32">
        <v>-0.018804564725452277</v>
      </c>
      <c r="D691" s="32">
        <v>-0.016753359392582733</v>
      </c>
      <c r="F691" s="17">
        <f t="shared" si="1"/>
        <v>-0.01002796086</v>
      </c>
    </row>
    <row r="692">
      <c r="A692" s="31">
        <v>45364.0</v>
      </c>
      <c r="B692" s="32">
        <v>-9.609269023128078E-4</v>
      </c>
      <c r="C692" s="32">
        <v>-0.04375914813495869</v>
      </c>
      <c r="D692" s="32">
        <v>-0.02391107610917571</v>
      </c>
      <c r="F692" s="17">
        <f t="shared" si="1"/>
        <v>-0.02298045295</v>
      </c>
    </row>
    <row r="693">
      <c r="A693" s="31">
        <v>45365.0</v>
      </c>
      <c r="B693" s="32">
        <v>0.02600224920934959</v>
      </c>
      <c r="C693" s="32">
        <v>0.02055297281181925</v>
      </c>
      <c r="D693" s="32">
        <v>0.04569314764502814</v>
      </c>
      <c r="F693" s="17">
        <f t="shared" si="1"/>
        <v>0.03224382566</v>
      </c>
    </row>
    <row r="694">
      <c r="A694" s="31">
        <v>45366.0</v>
      </c>
      <c r="B694" s="32">
        <v>-0.011673651743779719</v>
      </c>
      <c r="C694" s="32">
        <v>0.015299026425591099</v>
      </c>
      <c r="D694" s="32">
        <v>-0.003052815784133695</v>
      </c>
      <c r="F694" s="17">
        <f t="shared" si="1"/>
        <v>-0.0001335139091</v>
      </c>
    </row>
    <row r="695">
      <c r="A695" s="31">
        <v>45369.0</v>
      </c>
      <c r="B695" s="32">
        <v>-0.01918603182374539</v>
      </c>
      <c r="C695" s="32">
        <v>0.007013724931506883</v>
      </c>
      <c r="D695" s="32">
        <v>-5.579090437264372E-4</v>
      </c>
      <c r="F695" s="17">
        <f t="shared" si="1"/>
        <v>-0.003874855685</v>
      </c>
    </row>
    <row r="696">
      <c r="A696" s="31">
        <v>45370.0</v>
      </c>
      <c r="B696" s="32">
        <v>-0.025707467246760526</v>
      </c>
      <c r="C696" s="32">
        <v>-0.013603220887498855</v>
      </c>
      <c r="D696" s="32">
        <v>-0.008678787348285267</v>
      </c>
      <c r="F696" s="17">
        <f t="shared" si="1"/>
        <v>-0.01526472138</v>
      </c>
    </row>
    <row r="697">
      <c r="A697" s="31">
        <v>45371.0</v>
      </c>
      <c r="B697" s="32">
        <v>-0.004162797530485817</v>
      </c>
      <c r="C697" s="32">
        <v>-0.00496469536721901</v>
      </c>
      <c r="D697" s="32">
        <v>-0.010391783099668688</v>
      </c>
      <c r="F697" s="17">
        <f t="shared" si="1"/>
        <v>-0.006894961109</v>
      </c>
    </row>
    <row r="698">
      <c r="A698" s="31">
        <v>45372.0</v>
      </c>
      <c r="B698" s="32">
        <v>-1.6077687892090874E-4</v>
      </c>
      <c r="C698" s="32">
        <v>0.03642307919486203</v>
      </c>
      <c r="D698" s="32">
        <v>0.019618871170515452</v>
      </c>
      <c r="F698" s="17">
        <f t="shared" si="1"/>
        <v>0.01872623916</v>
      </c>
    </row>
    <row r="699">
      <c r="A699" s="31">
        <v>45373.0</v>
      </c>
      <c r="B699" s="32">
        <v>-0.029491205020305607</v>
      </c>
      <c r="C699" s="32">
        <v>-0.006472305964161524</v>
      </c>
      <c r="D699" s="32">
        <v>-0.005159155066679646</v>
      </c>
      <c r="F699" s="17">
        <f t="shared" si="1"/>
        <v>-0.01285271532</v>
      </c>
    </row>
    <row r="700">
      <c r="A700" s="31">
        <v>45377.0</v>
      </c>
      <c r="B700" s="32">
        <v>-0.010736622101387726</v>
      </c>
      <c r="C700" s="32">
        <v>5.382577727368956E-5</v>
      </c>
      <c r="D700" s="32">
        <v>0.003750815394651011</v>
      </c>
      <c r="F700" s="17">
        <f t="shared" si="1"/>
        <v>-0.001704512739</v>
      </c>
    </row>
    <row r="701">
      <c r="A701" s="31">
        <v>45378.0</v>
      </c>
      <c r="B701" s="32">
        <v>-0.005895586948384399</v>
      </c>
      <c r="C701" s="32">
        <v>0.0012920721399730984</v>
      </c>
      <c r="D701" s="32">
        <v>-0.0024630635255889974</v>
      </c>
      <c r="F701" s="17">
        <f t="shared" si="1"/>
        <v>-0.002366279853</v>
      </c>
    </row>
    <row r="702">
      <c r="A702" s="31">
        <v>45379.0</v>
      </c>
      <c r="B702" s="32">
        <v>0.009569749792549091</v>
      </c>
      <c r="C702" s="32">
        <v>-2.688316541470188E-4</v>
      </c>
      <c r="D702" s="32">
        <v>0.014378237843820927</v>
      </c>
      <c r="F702" s="17">
        <f t="shared" si="1"/>
        <v>0.008541570579</v>
      </c>
    </row>
    <row r="703">
      <c r="A703" s="31">
        <v>45383.0</v>
      </c>
      <c r="B703" s="32">
        <v>-0.0017356549614183745</v>
      </c>
      <c r="C703" s="32">
        <v>0.043508671052915955</v>
      </c>
      <c r="D703" s="32">
        <v>-0.005118732137677015</v>
      </c>
      <c r="F703" s="17">
        <f t="shared" si="1"/>
        <v>0.01048441197</v>
      </c>
    </row>
    <row r="704">
      <c r="A704" s="31">
        <v>45384.0</v>
      </c>
      <c r="B704" s="32">
        <v>-0.008425541083186732</v>
      </c>
      <c r="C704" s="32">
        <v>0.034685319968615444</v>
      </c>
      <c r="D704" s="32">
        <v>-0.005622739738478032</v>
      </c>
      <c r="F704" s="17">
        <f t="shared" si="1"/>
        <v>0.00562883777</v>
      </c>
    </row>
    <row r="705">
      <c r="A705" s="31">
        <v>45385.0</v>
      </c>
      <c r="B705" s="32">
        <v>-0.0014835971511658434</v>
      </c>
      <c r="C705" s="32">
        <v>0.010808962073827047</v>
      </c>
      <c r="D705" s="32">
        <v>0.038452287077612245</v>
      </c>
      <c r="F705" s="17">
        <f t="shared" si="1"/>
        <v>0.01817852431</v>
      </c>
    </row>
    <row r="706">
      <c r="A706" s="31">
        <v>45386.0</v>
      </c>
      <c r="B706" s="32">
        <v>0.004085993922896141</v>
      </c>
      <c r="C706" s="32">
        <v>-0.016261764756041637</v>
      </c>
      <c r="D706" s="32">
        <v>0.0037009838035854787</v>
      </c>
      <c r="F706" s="17">
        <f t="shared" si="1"/>
        <v>-0.002172337729</v>
      </c>
    </row>
    <row r="707">
      <c r="A707" s="31">
        <v>45387.0</v>
      </c>
      <c r="B707" s="32">
        <v>-0.005111976357359876</v>
      </c>
      <c r="C707" s="32">
        <v>0.004808884320579834</v>
      </c>
      <c r="D707" s="32">
        <v>0.001750209280597901</v>
      </c>
      <c r="F707" s="17">
        <f t="shared" si="1"/>
        <v>0.0006091561012</v>
      </c>
    </row>
    <row r="708">
      <c r="A708" s="31">
        <v>45390.0</v>
      </c>
      <c r="B708" s="32">
        <v>-0.0016226252714102636</v>
      </c>
      <c r="C708" s="32">
        <v>0.011815121250529453</v>
      </c>
      <c r="D708" s="32">
        <v>-0.014810529423811647</v>
      </c>
      <c r="F708" s="17">
        <f t="shared" si="1"/>
        <v>-0.002866462976</v>
      </c>
    </row>
    <row r="709">
      <c r="A709" s="31">
        <v>45391.0</v>
      </c>
      <c r="B709" s="32">
        <v>0.01229093627836107</v>
      </c>
      <c r="C709" s="32">
        <v>-0.004286535328575477</v>
      </c>
      <c r="D709" s="32">
        <v>-0.002827457345725945</v>
      </c>
      <c r="F709" s="17">
        <f t="shared" si="1"/>
        <v>0.001270337347</v>
      </c>
    </row>
    <row r="710">
      <c r="A710" s="31">
        <v>45392.0</v>
      </c>
      <c r="B710" s="32">
        <v>0.007994162084396338</v>
      </c>
      <c r="C710" s="32">
        <v>0.012420196794455562</v>
      </c>
      <c r="D710" s="32">
        <v>-0.006746768224963064</v>
      </c>
      <c r="F710" s="17">
        <f t="shared" si="1"/>
        <v>0.003425600374</v>
      </c>
    </row>
    <row r="711">
      <c r="A711" s="31">
        <v>45394.0</v>
      </c>
      <c r="B711" s="32">
        <v>-0.01463369278135718</v>
      </c>
      <c r="C711" s="32">
        <v>0.033870991202346074</v>
      </c>
      <c r="D711" s="32">
        <v>-0.011852040653773856</v>
      </c>
      <c r="F711" s="17">
        <f t="shared" si="1"/>
        <v>0.001030373265</v>
      </c>
    </row>
    <row r="712">
      <c r="A712" s="31">
        <v>45397.0</v>
      </c>
      <c r="B712" s="32">
        <v>-0.011180317225122053</v>
      </c>
      <c r="C712" s="32">
        <v>-0.026615632166808356</v>
      </c>
      <c r="D712" s="32">
        <v>-0.029405126551668548</v>
      </c>
      <c r="F712" s="17">
        <f t="shared" si="1"/>
        <v>-0.02310083544</v>
      </c>
    </row>
    <row r="713">
      <c r="A713" s="31">
        <v>45398.0</v>
      </c>
      <c r="B713" s="32">
        <v>-0.036576693200394604</v>
      </c>
      <c r="C713" s="32">
        <v>-0.012676044681884395</v>
      </c>
      <c r="D713" s="32">
        <v>5.647277679965452E-4</v>
      </c>
      <c r="F713" s="17">
        <f t="shared" si="1"/>
        <v>-0.01454993026</v>
      </c>
    </row>
    <row r="714">
      <c r="A714" s="31">
        <v>45400.0</v>
      </c>
      <c r="B714" s="32">
        <v>0.00339357995424749</v>
      </c>
      <c r="C714" s="32">
        <v>-0.0231196809705975</v>
      </c>
      <c r="D714" s="32">
        <v>-0.004867184860557784</v>
      </c>
      <c r="F714" s="17">
        <f t="shared" si="1"/>
        <v>-0.007864704249</v>
      </c>
    </row>
    <row r="715">
      <c r="A715" s="31">
        <v>45401.0</v>
      </c>
      <c r="B715" s="32">
        <v>-0.005636779989431038</v>
      </c>
      <c r="C715" s="32">
        <v>-9.56757126259056E-4</v>
      </c>
      <c r="D715" s="32">
        <v>-0.005651690825349702</v>
      </c>
      <c r="F715" s="17">
        <f t="shared" si="1"/>
        <v>-0.004238737465</v>
      </c>
    </row>
    <row r="716">
      <c r="A716" s="31">
        <v>45404.0</v>
      </c>
      <c r="B716" s="32">
        <v>0.015234720992028343</v>
      </c>
      <c r="C716" s="32">
        <v>0.008114907258064501</v>
      </c>
      <c r="D716" s="32">
        <v>-0.001925929137028572</v>
      </c>
      <c r="F716" s="17">
        <f t="shared" si="1"/>
        <v>0.00623451682</v>
      </c>
    </row>
    <row r="717">
      <c r="A717" s="31">
        <v>45405.0</v>
      </c>
      <c r="B717" s="32">
        <v>0.00673531600069798</v>
      </c>
      <c r="C717" s="32">
        <v>0.016249187735603472</v>
      </c>
      <c r="D717" s="32">
        <v>-0.005573706917257507</v>
      </c>
      <c r="F717" s="17">
        <f t="shared" si="1"/>
        <v>0.004665868354</v>
      </c>
    </row>
    <row r="718">
      <c r="A718" s="31">
        <v>45406.0</v>
      </c>
      <c r="B718" s="32">
        <v>-0.00807683292162787</v>
      </c>
      <c r="C718" s="32">
        <v>0.00890483922745061</v>
      </c>
      <c r="D718" s="32">
        <v>-0.049363138708106366</v>
      </c>
      <c r="F718" s="17">
        <f t="shared" si="1"/>
        <v>-0.01949685359</v>
      </c>
    </row>
    <row r="719">
      <c r="A719" s="31">
        <v>45407.0</v>
      </c>
      <c r="B719" s="32">
        <v>0.0053817585182596925</v>
      </c>
      <c r="C719" s="32">
        <v>0.002389499251326822</v>
      </c>
      <c r="D719" s="32">
        <v>0.009068085444645189</v>
      </c>
      <c r="F719" s="17">
        <f t="shared" si="1"/>
        <v>0.005958611509</v>
      </c>
    </row>
    <row r="720">
      <c r="A720" s="31">
        <v>45408.0</v>
      </c>
      <c r="B720" s="32">
        <v>-0.005700546615681351</v>
      </c>
      <c r="C720" s="32">
        <v>0.016199553615705374</v>
      </c>
      <c r="D720" s="32">
        <v>0.001381509907862841</v>
      </c>
      <c r="F720" s="17">
        <f t="shared" si="1"/>
        <v>0.003702306063</v>
      </c>
    </row>
    <row r="721">
      <c r="A721" s="31">
        <v>45411.0</v>
      </c>
      <c r="B721" s="32">
        <v>0.003146303093864709</v>
      </c>
      <c r="C721" s="32">
        <v>7.660003231690941E-4</v>
      </c>
      <c r="D721" s="32">
        <v>-1.5486253217369345E-4</v>
      </c>
      <c r="F721" s="17">
        <f t="shared" si="1"/>
        <v>0.001111746012</v>
      </c>
    </row>
    <row r="722">
      <c r="A722" s="31">
        <v>45412.0</v>
      </c>
      <c r="B722" s="32">
        <v>-0.00989716048092006</v>
      </c>
      <c r="C722" s="32">
        <v>-0.006218607988519493</v>
      </c>
      <c r="D722" s="32">
        <v>-0.007138258567348638</v>
      </c>
      <c r="F722" s="17">
        <f t="shared" si="1"/>
        <v>-0.007690033968</v>
      </c>
    </row>
    <row r="723">
      <c r="A723" s="31">
        <v>45414.0</v>
      </c>
      <c r="B723" s="32">
        <v>-0.004294180274953403</v>
      </c>
      <c r="C723" s="32">
        <v>0.01689535403128755</v>
      </c>
      <c r="D723" s="32">
        <v>0.014116804603503607</v>
      </c>
      <c r="F723" s="17">
        <f t="shared" si="1"/>
        <v>0.009427073968</v>
      </c>
    </row>
    <row r="724">
      <c r="A724" s="31">
        <v>45415.0</v>
      </c>
      <c r="B724" s="32">
        <v>0.001307998207141858</v>
      </c>
      <c r="C724" s="32">
        <v>-0.0036448904869831066</v>
      </c>
      <c r="D724" s="32">
        <v>-0.005551348875750696</v>
      </c>
      <c r="F724" s="17">
        <f t="shared" si="1"/>
        <v>-0.002921607234</v>
      </c>
    </row>
    <row r="725">
      <c r="A725" s="31">
        <v>45418.0</v>
      </c>
      <c r="B725" s="32">
        <v>0.00677820706620627</v>
      </c>
      <c r="C725" s="32">
        <v>-0.02874240145220933</v>
      </c>
      <c r="D725" s="32">
        <v>-0.0034028466973670827</v>
      </c>
      <c r="F725" s="17">
        <f t="shared" si="1"/>
        <v>-0.007950396995</v>
      </c>
    </row>
    <row r="726">
      <c r="A726" s="31">
        <v>45419.0</v>
      </c>
      <c r="B726" s="32">
        <v>0.010554685985474129</v>
      </c>
      <c r="C726" s="32">
        <v>-0.028076708729289288</v>
      </c>
      <c r="D726" s="32">
        <v>0.007096993232346004</v>
      </c>
      <c r="F726" s="17">
        <f t="shared" si="1"/>
        <v>-0.00241780953</v>
      </c>
    </row>
    <row r="727">
      <c r="A727" s="31">
        <v>45420.0</v>
      </c>
      <c r="B727" s="32">
        <v>-0.009472849484138752</v>
      </c>
      <c r="C727" s="32">
        <v>0.014041280322093624</v>
      </c>
      <c r="D727" s="32">
        <v>-0.0031171851039901175</v>
      </c>
      <c r="F727" s="17">
        <f t="shared" si="1"/>
        <v>0.0001236552098</v>
      </c>
    </row>
    <row r="728">
      <c r="A728" s="31">
        <v>45421.0</v>
      </c>
      <c r="B728" s="32">
        <v>0.008582638253661267</v>
      </c>
      <c r="C728" s="32">
        <v>-0.021192154196927087</v>
      </c>
      <c r="D728" s="32">
        <v>0.00503823943255003</v>
      </c>
      <c r="F728" s="17">
        <f t="shared" si="1"/>
        <v>-0.00176755901</v>
      </c>
    </row>
    <row r="729">
      <c r="A729" s="31">
        <v>45422.0</v>
      </c>
      <c r="B729" s="32">
        <v>-0.010176808378546285</v>
      </c>
      <c r="C729" s="32">
        <v>0.009583218973732148</v>
      </c>
      <c r="D729" s="32">
        <v>-0.0033629952449106353</v>
      </c>
      <c r="F729" s="17">
        <f t="shared" si="1"/>
        <v>-0.001523274919</v>
      </c>
    </row>
    <row r="730">
      <c r="A730" s="31">
        <v>45425.0</v>
      </c>
      <c r="B730" s="32">
        <v>-0.0010176664857716184</v>
      </c>
      <c r="C730" s="32">
        <v>-0.005424101315945127</v>
      </c>
      <c r="D730" s="32">
        <v>-0.008193717597298375</v>
      </c>
      <c r="F730" s="17">
        <f t="shared" si="1"/>
        <v>-0.005210017379</v>
      </c>
    </row>
    <row r="731">
      <c r="A731" s="31">
        <v>45426.0</v>
      </c>
      <c r="B731" s="32">
        <v>8.781481913866039E-4</v>
      </c>
      <c r="C731" s="32">
        <v>0.03686310065675462</v>
      </c>
      <c r="D731" s="32">
        <v>0.0027089973122082487</v>
      </c>
      <c r="F731" s="17">
        <f t="shared" si="1"/>
        <v>0.01240597358</v>
      </c>
    </row>
    <row r="732">
      <c r="A732" s="31">
        <v>45427.0</v>
      </c>
      <c r="B732" s="32">
        <v>-0.003334035350156336</v>
      </c>
      <c r="C732" s="32">
        <v>0.0019480835272449183</v>
      </c>
      <c r="D732" s="32">
        <v>0.01891891394144501</v>
      </c>
      <c r="F732" s="17">
        <f t="shared" si="1"/>
        <v>0.00715178003</v>
      </c>
    </row>
    <row r="733">
      <c r="A733" s="31">
        <v>45428.0</v>
      </c>
      <c r="B733" s="32">
        <v>0.02352197341637143</v>
      </c>
      <c r="C733" s="32">
        <v>0.011519929736568955</v>
      </c>
      <c r="D733" s="32">
        <v>0.010709972377029304</v>
      </c>
      <c r="F733" s="17">
        <f t="shared" si="1"/>
        <v>0.0147965599</v>
      </c>
    </row>
    <row r="734">
      <c r="A734" s="31">
        <v>45429.0</v>
      </c>
      <c r="B734" s="32">
        <v>-0.0062269426837627895</v>
      </c>
      <c r="C734" s="32">
        <v>0.05112921768380592</v>
      </c>
      <c r="D734" s="32">
        <v>0.008137418653423897</v>
      </c>
      <c r="F734" s="17">
        <f t="shared" si="1"/>
        <v>0.01672564996</v>
      </c>
    </row>
    <row r="735">
      <c r="A735" s="31">
        <v>45433.0</v>
      </c>
      <c r="B735" s="32">
        <v>-0.007027642910507105</v>
      </c>
      <c r="C735" s="32">
        <v>0.019978146638867215</v>
      </c>
      <c r="D735" s="32">
        <v>-0.016320165511618412</v>
      </c>
      <c r="F735" s="17">
        <f t="shared" si="1"/>
        <v>-0.002642915086</v>
      </c>
    </row>
    <row r="736">
      <c r="A736" s="31">
        <v>45434.0</v>
      </c>
      <c r="B736" s="32">
        <v>0.01439878998321581</v>
      </c>
      <c r="C736" s="32">
        <v>0.00936753219576978</v>
      </c>
      <c r="D736" s="32">
        <v>-0.003771264193397355</v>
      </c>
      <c r="F736" s="17">
        <f t="shared" si="1"/>
        <v>0.005621390976</v>
      </c>
    </row>
    <row r="737">
      <c r="A737" s="31">
        <v>45435.0</v>
      </c>
      <c r="B737" s="32">
        <v>0.01209786527852948</v>
      </c>
      <c r="C737" s="32">
        <v>-0.0034636092362344854</v>
      </c>
      <c r="D737" s="32">
        <v>0.028426423708221543</v>
      </c>
      <c r="F737" s="17">
        <f t="shared" si="1"/>
        <v>0.0139608463</v>
      </c>
    </row>
    <row r="738">
      <c r="A738" s="31">
        <v>45436.0</v>
      </c>
      <c r="B738" s="32">
        <v>-0.004957924396230559</v>
      </c>
      <c r="C738" s="32">
        <v>-0.011629914694873877</v>
      </c>
      <c r="D738" s="32">
        <v>-0.005615767663033507</v>
      </c>
      <c r="F738" s="17">
        <f t="shared" si="1"/>
        <v>-0.007222658793</v>
      </c>
    </row>
    <row r="739">
      <c r="A739" s="31">
        <v>45439.0</v>
      </c>
      <c r="B739" s="32">
        <v>0.004265920484869355</v>
      </c>
      <c r="C739" s="32">
        <v>-0.007033090172109938</v>
      </c>
      <c r="D739" s="32">
        <v>-0.00788485189221006</v>
      </c>
      <c r="F739" s="17">
        <f t="shared" si="1"/>
        <v>-0.003984091663</v>
      </c>
    </row>
    <row r="740">
      <c r="A740" s="31">
        <v>45440.0</v>
      </c>
      <c r="B740" s="32">
        <v>-0.002922436585542871</v>
      </c>
      <c r="C740" s="32">
        <v>-0.01648129307604997</v>
      </c>
      <c r="D740" s="32">
        <v>4.2369575259965174E-4</v>
      </c>
      <c r="F740" s="17">
        <f t="shared" si="1"/>
        <v>-0.005651640597</v>
      </c>
    </row>
    <row r="741">
      <c r="A741" s="31">
        <v>45441.0</v>
      </c>
      <c r="B741" s="32">
        <v>-0.01097447085119854</v>
      </c>
      <c r="C741" s="32">
        <v>-0.03711564296073804</v>
      </c>
      <c r="D741" s="32">
        <v>-0.004057392505037532</v>
      </c>
      <c r="F741" s="17">
        <f t="shared" si="1"/>
        <v>-0.01604999115</v>
      </c>
    </row>
    <row r="742">
      <c r="A742" s="31">
        <v>45443.0</v>
      </c>
      <c r="B742" s="32">
        <v>-0.030359370403948566</v>
      </c>
      <c r="C742" s="32">
        <v>-0.021622444607403767</v>
      </c>
      <c r="D742" s="32">
        <v>-0.047440411476930705</v>
      </c>
      <c r="F742" s="17">
        <f t="shared" si="1"/>
        <v>-0.03457070909</v>
      </c>
    </row>
    <row r="743">
      <c r="A743" s="33"/>
      <c r="B743" s="32"/>
      <c r="C743" s="33"/>
      <c r="D743" s="33"/>
      <c r="F743" s="17"/>
    </row>
    <row r="744">
      <c r="A744" s="33"/>
      <c r="B744" s="32"/>
      <c r="C744" s="33"/>
      <c r="D744" s="33"/>
      <c r="F744" s="17"/>
    </row>
    <row r="745">
      <c r="A745" s="33"/>
      <c r="B745" s="32"/>
      <c r="C745" s="33"/>
      <c r="D745" s="33"/>
      <c r="F745" s="17"/>
    </row>
    <row r="746">
      <c r="A746" s="33"/>
      <c r="B746" s="32"/>
      <c r="C746" s="33"/>
      <c r="D746" s="33"/>
      <c r="F746" s="17"/>
    </row>
    <row r="747">
      <c r="A747" s="33"/>
      <c r="B747" s="32"/>
      <c r="C747" s="33"/>
      <c r="D747" s="33"/>
      <c r="F747" s="17"/>
    </row>
    <row r="748">
      <c r="A748" s="33"/>
      <c r="B748" s="32"/>
      <c r="C748" s="33"/>
      <c r="D748" s="33"/>
      <c r="F748" s="17"/>
    </row>
    <row r="749">
      <c r="A749" s="33"/>
      <c r="B749" s="32"/>
      <c r="C749" s="33"/>
      <c r="D749" s="33"/>
      <c r="F749" s="17"/>
    </row>
    <row r="750">
      <c r="A750" s="33"/>
      <c r="B750" s="32"/>
      <c r="C750" s="33"/>
      <c r="D750" s="33"/>
      <c r="F750" s="17"/>
    </row>
    <row r="751">
      <c r="A751" s="33"/>
      <c r="B751" s="32"/>
      <c r="C751" s="33"/>
      <c r="D751" s="33"/>
      <c r="F751" s="17"/>
    </row>
    <row r="752">
      <c r="A752" s="33"/>
      <c r="B752" s="32"/>
      <c r="C752" s="33"/>
      <c r="D752" s="33"/>
      <c r="F752" s="17"/>
    </row>
    <row r="753">
      <c r="A753" s="33"/>
      <c r="B753" s="32"/>
      <c r="C753" s="33"/>
      <c r="D753" s="33"/>
      <c r="F753" s="17"/>
    </row>
    <row r="754">
      <c r="A754" s="33"/>
      <c r="B754" s="32"/>
      <c r="C754" s="33"/>
      <c r="D754" s="33"/>
      <c r="F754" s="17"/>
    </row>
    <row r="755">
      <c r="A755" s="33"/>
      <c r="B755" s="32"/>
      <c r="C755" s="33"/>
      <c r="D755" s="33"/>
      <c r="F755" s="17"/>
    </row>
    <row r="756">
      <c r="A756" s="33"/>
      <c r="B756" s="32"/>
      <c r="C756" s="33"/>
      <c r="D756" s="33"/>
      <c r="F756" s="17"/>
    </row>
    <row r="757">
      <c r="A757" s="33"/>
      <c r="B757" s="32"/>
      <c r="C757" s="33"/>
      <c r="D757" s="33"/>
      <c r="F757" s="17"/>
    </row>
    <row r="758">
      <c r="A758" s="33"/>
      <c r="B758" s="32"/>
      <c r="C758" s="33"/>
      <c r="D758" s="33"/>
      <c r="F758" s="17"/>
    </row>
    <row r="759">
      <c r="A759" s="33"/>
      <c r="B759" s="32"/>
      <c r="C759" s="33"/>
      <c r="D759" s="33"/>
      <c r="F759" s="17"/>
    </row>
    <row r="760">
      <c r="A760" s="33"/>
      <c r="B760" s="32"/>
      <c r="C760" s="33"/>
      <c r="D760" s="33"/>
      <c r="F760" s="17"/>
    </row>
    <row r="761">
      <c r="A761" s="33"/>
      <c r="B761" s="32"/>
      <c r="C761" s="33"/>
      <c r="D761" s="33"/>
      <c r="F761" s="17"/>
    </row>
    <row r="762">
      <c r="A762" s="33"/>
      <c r="B762" s="32"/>
      <c r="C762" s="33"/>
      <c r="D762" s="33"/>
      <c r="F762" s="17"/>
    </row>
    <row r="763">
      <c r="A763" s="33"/>
      <c r="B763" s="32"/>
      <c r="C763" s="33"/>
      <c r="D763" s="33"/>
      <c r="F763" s="17"/>
    </row>
    <row r="764">
      <c r="A764" s="33"/>
      <c r="B764" s="32"/>
      <c r="C764" s="33"/>
      <c r="D764" s="33"/>
      <c r="F764" s="17"/>
    </row>
    <row r="765">
      <c r="A765" s="33"/>
      <c r="B765" s="32"/>
      <c r="C765" s="33"/>
      <c r="D765" s="33"/>
      <c r="F765" s="17"/>
    </row>
    <row r="766">
      <c r="A766" s="33"/>
      <c r="B766" s="32"/>
      <c r="C766" s="33"/>
      <c r="D766" s="33"/>
      <c r="F766" s="17"/>
    </row>
    <row r="767">
      <c r="A767" s="33"/>
      <c r="B767" s="32"/>
      <c r="C767" s="33"/>
      <c r="D767" s="33"/>
      <c r="F767" s="17"/>
    </row>
    <row r="768">
      <c r="A768" s="33"/>
      <c r="B768" s="32"/>
      <c r="C768" s="33"/>
      <c r="D768" s="33"/>
      <c r="F768" s="17"/>
    </row>
    <row r="769">
      <c r="A769" s="33"/>
      <c r="B769" s="32"/>
      <c r="C769" s="33"/>
      <c r="D769" s="33"/>
      <c r="F769" s="17"/>
    </row>
    <row r="770">
      <c r="A770" s="33"/>
      <c r="B770" s="32"/>
      <c r="C770" s="33"/>
      <c r="D770" s="33"/>
      <c r="F770" s="17"/>
    </row>
    <row r="771">
      <c r="A771" s="33"/>
      <c r="B771" s="32"/>
      <c r="C771" s="33"/>
      <c r="D771" s="33"/>
      <c r="F771" s="17"/>
    </row>
    <row r="772">
      <c r="A772" s="33"/>
      <c r="B772" s="32"/>
      <c r="C772" s="33"/>
      <c r="D772" s="33"/>
      <c r="F772" s="17"/>
    </row>
    <row r="773">
      <c r="A773" s="33"/>
      <c r="B773" s="32"/>
      <c r="C773" s="33"/>
      <c r="D773" s="33"/>
      <c r="F773" s="17"/>
    </row>
    <row r="774">
      <c r="A774" s="33"/>
      <c r="B774" s="32"/>
      <c r="C774" s="33"/>
      <c r="D774" s="33"/>
      <c r="F774" s="17"/>
    </row>
    <row r="775">
      <c r="A775" s="33"/>
      <c r="B775" s="32"/>
      <c r="C775" s="33"/>
      <c r="D775" s="33"/>
      <c r="F775" s="17"/>
    </row>
    <row r="776">
      <c r="A776" s="33"/>
      <c r="B776" s="32"/>
      <c r="C776" s="33"/>
      <c r="D776" s="33"/>
      <c r="F776" s="17"/>
    </row>
    <row r="777">
      <c r="A777" s="33"/>
      <c r="B777" s="32"/>
      <c r="C777" s="33"/>
      <c r="D777" s="33"/>
      <c r="F777" s="17"/>
    </row>
    <row r="778">
      <c r="A778" s="33"/>
      <c r="B778" s="32"/>
      <c r="C778" s="33"/>
      <c r="D778" s="33"/>
      <c r="F778" s="17"/>
    </row>
    <row r="779">
      <c r="A779" s="33"/>
      <c r="B779" s="32"/>
      <c r="C779" s="33"/>
      <c r="D779" s="33"/>
      <c r="F779" s="17"/>
    </row>
    <row r="780">
      <c r="A780" s="33"/>
      <c r="B780" s="32"/>
      <c r="C780" s="33"/>
      <c r="D780" s="33"/>
      <c r="F780" s="17"/>
    </row>
    <row r="781">
      <c r="A781" s="33"/>
      <c r="B781" s="32"/>
      <c r="C781" s="33"/>
      <c r="D781" s="33"/>
      <c r="F781" s="17"/>
    </row>
    <row r="782">
      <c r="A782" s="33"/>
      <c r="B782" s="32"/>
      <c r="C782" s="33"/>
      <c r="D782" s="33"/>
      <c r="F782" s="17"/>
    </row>
    <row r="783">
      <c r="A783" s="33"/>
      <c r="B783" s="32"/>
      <c r="C783" s="33"/>
      <c r="D783" s="33"/>
      <c r="F783" s="17"/>
    </row>
    <row r="784">
      <c r="A784" s="33"/>
      <c r="B784" s="32"/>
      <c r="C784" s="33"/>
      <c r="D784" s="33"/>
      <c r="F784" s="17"/>
    </row>
    <row r="785">
      <c r="A785" s="33"/>
      <c r="B785" s="32"/>
      <c r="C785" s="33"/>
      <c r="D785" s="33"/>
      <c r="F785" s="17"/>
    </row>
    <row r="786">
      <c r="A786" s="33"/>
      <c r="B786" s="32"/>
      <c r="C786" s="33"/>
      <c r="D786" s="33"/>
      <c r="F786" s="17"/>
    </row>
    <row r="787">
      <c r="A787" s="33"/>
      <c r="B787" s="32"/>
      <c r="C787" s="33"/>
      <c r="D787" s="33"/>
      <c r="F787" s="17"/>
    </row>
    <row r="788">
      <c r="A788" s="33"/>
      <c r="B788" s="32"/>
      <c r="C788" s="33"/>
      <c r="D788" s="33"/>
      <c r="F788" s="17"/>
    </row>
    <row r="789">
      <c r="A789" s="33"/>
      <c r="B789" s="32"/>
      <c r="C789" s="33"/>
      <c r="D789" s="33"/>
      <c r="F789" s="17"/>
    </row>
    <row r="790">
      <c r="A790" s="33"/>
      <c r="B790" s="32"/>
      <c r="C790" s="33"/>
      <c r="D790" s="33"/>
      <c r="F790" s="17"/>
    </row>
    <row r="791">
      <c r="A791" s="33"/>
      <c r="B791" s="32"/>
      <c r="C791" s="33"/>
      <c r="D791" s="33"/>
      <c r="F791" s="17"/>
    </row>
    <row r="792">
      <c r="A792" s="33"/>
      <c r="B792" s="32"/>
      <c r="C792" s="33"/>
      <c r="D792" s="33"/>
      <c r="F792" s="17"/>
    </row>
    <row r="793">
      <c r="A793" s="33"/>
      <c r="B793" s="32"/>
      <c r="C793" s="33"/>
      <c r="D793" s="33"/>
      <c r="F793" s="17"/>
    </row>
    <row r="794">
      <c r="A794" s="33"/>
      <c r="B794" s="32"/>
      <c r="C794" s="33"/>
      <c r="D794" s="33"/>
      <c r="F794" s="17"/>
    </row>
    <row r="795">
      <c r="A795" s="33"/>
      <c r="B795" s="32"/>
      <c r="C795" s="33"/>
      <c r="D795" s="33"/>
      <c r="F795" s="17"/>
    </row>
    <row r="796">
      <c r="A796" s="33"/>
      <c r="B796" s="32"/>
      <c r="C796" s="33"/>
      <c r="D796" s="33"/>
      <c r="F796" s="17"/>
    </row>
    <row r="797">
      <c r="A797" s="33"/>
      <c r="B797" s="32"/>
      <c r="C797" s="33"/>
      <c r="D797" s="33"/>
      <c r="F797" s="17"/>
    </row>
    <row r="798">
      <c r="A798" s="33"/>
      <c r="B798" s="32"/>
      <c r="C798" s="33"/>
      <c r="D798" s="33"/>
      <c r="F798" s="17"/>
    </row>
    <row r="799">
      <c r="A799" s="33"/>
      <c r="B799" s="32"/>
      <c r="C799" s="33"/>
      <c r="D799" s="33"/>
      <c r="F799" s="17"/>
    </row>
    <row r="800">
      <c r="A800" s="33"/>
      <c r="B800" s="32"/>
      <c r="C800" s="33"/>
      <c r="D800" s="33"/>
      <c r="F800" s="17"/>
    </row>
    <row r="801">
      <c r="A801" s="33"/>
      <c r="B801" s="32"/>
      <c r="C801" s="33"/>
      <c r="D801" s="33"/>
      <c r="F801" s="17"/>
    </row>
    <row r="802">
      <c r="A802" s="33"/>
      <c r="B802" s="32"/>
      <c r="C802" s="33"/>
      <c r="D802" s="33"/>
      <c r="F802" s="17"/>
    </row>
    <row r="803">
      <c r="A803" s="33"/>
      <c r="B803" s="32"/>
      <c r="C803" s="33"/>
      <c r="D803" s="33"/>
      <c r="F803" s="17"/>
    </row>
    <row r="804">
      <c r="A804" s="33"/>
      <c r="B804" s="32"/>
      <c r="C804" s="33"/>
      <c r="D804" s="33"/>
      <c r="F804" s="17"/>
    </row>
    <row r="805">
      <c r="A805" s="33"/>
      <c r="B805" s="32"/>
      <c r="C805" s="33"/>
      <c r="D805" s="33"/>
      <c r="F805" s="17"/>
    </row>
    <row r="806">
      <c r="A806" s="33"/>
      <c r="B806" s="32"/>
      <c r="C806" s="33"/>
      <c r="D806" s="33"/>
      <c r="F806" s="17"/>
    </row>
    <row r="807">
      <c r="A807" s="33"/>
      <c r="B807" s="32"/>
      <c r="C807" s="33"/>
      <c r="D807" s="33"/>
      <c r="F807" s="17"/>
    </row>
    <row r="808">
      <c r="A808" s="33"/>
      <c r="B808" s="32"/>
      <c r="C808" s="33"/>
      <c r="D808" s="33"/>
      <c r="F808" s="17"/>
    </row>
    <row r="809">
      <c r="A809" s="33"/>
      <c r="B809" s="32"/>
      <c r="C809" s="33"/>
      <c r="D809" s="33"/>
      <c r="F809" s="17"/>
    </row>
    <row r="810">
      <c r="A810" s="33"/>
      <c r="B810" s="32"/>
      <c r="C810" s="33"/>
      <c r="D810" s="33"/>
      <c r="F810" s="17"/>
    </row>
    <row r="811">
      <c r="A811" s="33"/>
      <c r="B811" s="32"/>
      <c r="C811" s="33"/>
      <c r="D811" s="33"/>
      <c r="F811" s="17"/>
    </row>
    <row r="812">
      <c r="A812" s="33"/>
      <c r="B812" s="32"/>
      <c r="C812" s="33"/>
      <c r="D812" s="33"/>
      <c r="F812" s="17"/>
    </row>
    <row r="813">
      <c r="A813" s="33"/>
      <c r="B813" s="32"/>
      <c r="C813" s="33"/>
      <c r="D813" s="33"/>
      <c r="F813" s="17"/>
    </row>
    <row r="814">
      <c r="A814" s="33"/>
      <c r="B814" s="32"/>
      <c r="C814" s="33"/>
      <c r="D814" s="33"/>
      <c r="F814" s="17"/>
    </row>
    <row r="815">
      <c r="A815" s="33"/>
      <c r="B815" s="32"/>
      <c r="C815" s="33"/>
      <c r="D815" s="33"/>
      <c r="F815" s="17"/>
    </row>
    <row r="816">
      <c r="A816" s="33"/>
      <c r="B816" s="32"/>
      <c r="C816" s="33"/>
      <c r="D816" s="33"/>
      <c r="F816" s="17"/>
    </row>
    <row r="817">
      <c r="A817" s="33"/>
      <c r="B817" s="32"/>
      <c r="C817" s="33"/>
      <c r="D817" s="33"/>
      <c r="F817" s="17"/>
    </row>
    <row r="818">
      <c r="A818" s="33"/>
      <c r="B818" s="32"/>
      <c r="C818" s="33"/>
      <c r="D818" s="33"/>
      <c r="F818" s="17"/>
    </row>
    <row r="819">
      <c r="A819" s="33"/>
      <c r="B819" s="32"/>
      <c r="C819" s="33"/>
      <c r="D819" s="33"/>
      <c r="F819" s="17"/>
    </row>
    <row r="820">
      <c r="A820" s="33"/>
      <c r="B820" s="32"/>
      <c r="C820" s="33"/>
      <c r="D820" s="33"/>
      <c r="F820" s="17"/>
    </row>
    <row r="821">
      <c r="A821" s="33"/>
      <c r="B821" s="32"/>
      <c r="C821" s="33"/>
      <c r="D821" s="33"/>
      <c r="F821" s="17"/>
    </row>
    <row r="822">
      <c r="A822" s="33"/>
      <c r="B822" s="32"/>
      <c r="C822" s="33"/>
      <c r="D822" s="33"/>
      <c r="F822" s="17"/>
    </row>
    <row r="823">
      <c r="A823" s="33"/>
      <c r="B823" s="32"/>
      <c r="C823" s="33"/>
      <c r="D823" s="33"/>
      <c r="F823" s="17"/>
    </row>
    <row r="824">
      <c r="A824" s="33"/>
      <c r="B824" s="32"/>
      <c r="C824" s="33"/>
      <c r="D824" s="33"/>
      <c r="F824" s="17"/>
    </row>
    <row r="825">
      <c r="A825" s="33"/>
      <c r="B825" s="32"/>
      <c r="C825" s="33"/>
      <c r="D825" s="33"/>
      <c r="F825" s="17"/>
    </row>
    <row r="826">
      <c r="A826" s="33"/>
      <c r="B826" s="32"/>
      <c r="C826" s="33"/>
      <c r="D826" s="33"/>
      <c r="F826" s="17"/>
    </row>
    <row r="827">
      <c r="A827" s="33"/>
      <c r="B827" s="32"/>
      <c r="C827" s="33"/>
      <c r="D827" s="33"/>
      <c r="F827" s="17"/>
    </row>
    <row r="828">
      <c r="A828" s="33"/>
      <c r="B828" s="32"/>
      <c r="C828" s="33"/>
      <c r="D828" s="33"/>
      <c r="F828" s="17"/>
    </row>
    <row r="829">
      <c r="A829" s="33"/>
      <c r="B829" s="32"/>
      <c r="C829" s="33"/>
      <c r="D829" s="33"/>
      <c r="F829" s="17"/>
    </row>
    <row r="830">
      <c r="A830" s="33"/>
      <c r="B830" s="32"/>
      <c r="C830" s="33"/>
      <c r="D830" s="33"/>
      <c r="F830" s="17"/>
    </row>
    <row r="831">
      <c r="A831" s="33"/>
      <c r="B831" s="32"/>
      <c r="C831" s="33"/>
      <c r="D831" s="33"/>
      <c r="F831" s="17"/>
    </row>
    <row r="832">
      <c r="A832" s="33"/>
      <c r="B832" s="32"/>
      <c r="C832" s="33"/>
      <c r="D832" s="33"/>
      <c r="F832" s="17"/>
    </row>
    <row r="833">
      <c r="A833" s="33"/>
      <c r="B833" s="32"/>
      <c r="C833" s="33"/>
      <c r="D833" s="33"/>
      <c r="F833" s="17"/>
    </row>
    <row r="834">
      <c r="A834" s="33"/>
      <c r="B834" s="32"/>
      <c r="C834" s="33"/>
      <c r="D834" s="33"/>
      <c r="F834" s="17"/>
    </row>
    <row r="835">
      <c r="A835" s="33"/>
      <c r="B835" s="32"/>
      <c r="C835" s="33"/>
      <c r="D835" s="33"/>
      <c r="F835" s="17"/>
    </row>
    <row r="836">
      <c r="A836" s="33"/>
      <c r="B836" s="32"/>
      <c r="C836" s="33"/>
      <c r="D836" s="33"/>
      <c r="F836" s="17"/>
    </row>
    <row r="837">
      <c r="A837" s="33"/>
      <c r="B837" s="32"/>
      <c r="C837" s="33"/>
      <c r="D837" s="33"/>
      <c r="F837" s="17"/>
    </row>
    <row r="838">
      <c r="A838" s="33"/>
      <c r="B838" s="32"/>
      <c r="C838" s="33"/>
      <c r="D838" s="33"/>
      <c r="F838" s="17"/>
    </row>
    <row r="839">
      <c r="A839" s="33"/>
      <c r="B839" s="32"/>
      <c r="C839" s="33"/>
      <c r="D839" s="33"/>
      <c r="F839" s="17"/>
    </row>
    <row r="840">
      <c r="A840" s="33"/>
      <c r="B840" s="32"/>
      <c r="C840" s="33"/>
      <c r="D840" s="33"/>
      <c r="F840" s="17"/>
    </row>
    <row r="841">
      <c r="A841" s="33"/>
      <c r="B841" s="32"/>
      <c r="C841" s="33"/>
      <c r="D841" s="33"/>
      <c r="F841" s="17"/>
    </row>
    <row r="842">
      <c r="A842" s="33"/>
      <c r="B842" s="32"/>
      <c r="C842" s="33"/>
      <c r="D842" s="33"/>
      <c r="F842" s="17"/>
    </row>
    <row r="843">
      <c r="A843" s="33"/>
      <c r="B843" s="32"/>
      <c r="C843" s="33"/>
      <c r="D843" s="33"/>
      <c r="F843" s="17"/>
    </row>
    <row r="844">
      <c r="A844" s="33"/>
      <c r="B844" s="32"/>
      <c r="C844" s="33"/>
      <c r="D844" s="33"/>
      <c r="F844" s="17"/>
    </row>
    <row r="845">
      <c r="A845" s="33"/>
      <c r="B845" s="32"/>
      <c r="C845" s="33"/>
      <c r="D845" s="33"/>
      <c r="F845" s="17"/>
    </row>
    <row r="846">
      <c r="A846" s="33"/>
      <c r="B846" s="32"/>
      <c r="C846" s="33"/>
      <c r="D846" s="33"/>
      <c r="F846" s="17"/>
    </row>
    <row r="847">
      <c r="A847" s="33"/>
      <c r="B847" s="32"/>
      <c r="C847" s="33"/>
      <c r="D847" s="33"/>
      <c r="F847" s="17"/>
    </row>
    <row r="848">
      <c r="A848" s="33"/>
      <c r="B848" s="32"/>
      <c r="C848" s="33"/>
      <c r="D848" s="33"/>
      <c r="F848" s="17"/>
    </row>
    <row r="849">
      <c r="A849" s="33"/>
      <c r="B849" s="32"/>
      <c r="C849" s="33"/>
      <c r="D849" s="33"/>
      <c r="F849" s="17"/>
    </row>
    <row r="850">
      <c r="A850" s="33"/>
      <c r="B850" s="32"/>
      <c r="C850" s="33"/>
      <c r="D850" s="33"/>
      <c r="F850" s="17"/>
    </row>
    <row r="851">
      <c r="A851" s="33"/>
      <c r="B851" s="32"/>
      <c r="C851" s="33"/>
      <c r="D851" s="33"/>
      <c r="F851" s="17"/>
    </row>
    <row r="852">
      <c r="A852" s="33"/>
      <c r="B852" s="32"/>
      <c r="C852" s="33"/>
      <c r="D852" s="33"/>
      <c r="F852" s="17"/>
    </row>
    <row r="853">
      <c r="A853" s="33"/>
      <c r="B853" s="32"/>
      <c r="C853" s="33"/>
      <c r="D853" s="33"/>
      <c r="F853" s="17"/>
    </row>
    <row r="854">
      <c r="A854" s="33"/>
      <c r="B854" s="32"/>
      <c r="C854" s="33"/>
      <c r="D854" s="33"/>
      <c r="F854" s="17"/>
    </row>
    <row r="855">
      <c r="A855" s="33"/>
      <c r="B855" s="32"/>
      <c r="C855" s="33"/>
      <c r="D855" s="33"/>
      <c r="F855" s="17"/>
    </row>
    <row r="856">
      <c r="A856" s="33"/>
      <c r="B856" s="32"/>
      <c r="C856" s="33"/>
      <c r="D856" s="33"/>
      <c r="F856" s="17"/>
    </row>
    <row r="857">
      <c r="A857" s="33"/>
      <c r="B857" s="32"/>
      <c r="C857" s="33"/>
      <c r="D857" s="33"/>
      <c r="F857" s="17"/>
    </row>
    <row r="858">
      <c r="A858" s="33"/>
      <c r="B858" s="32"/>
      <c r="C858" s="33"/>
      <c r="D858" s="33"/>
      <c r="F858" s="17"/>
    </row>
    <row r="859">
      <c r="A859" s="33"/>
      <c r="B859" s="32"/>
      <c r="C859" s="33"/>
      <c r="D859" s="33"/>
      <c r="F859" s="17"/>
    </row>
    <row r="860">
      <c r="A860" s="33"/>
      <c r="B860" s="32"/>
      <c r="C860" s="33"/>
      <c r="D860" s="33"/>
      <c r="F860" s="17"/>
    </row>
    <row r="861">
      <c r="A861" s="33"/>
      <c r="B861" s="32"/>
      <c r="C861" s="33"/>
      <c r="D861" s="33"/>
      <c r="F861" s="17"/>
    </row>
    <row r="862">
      <c r="A862" s="33"/>
      <c r="B862" s="32"/>
      <c r="C862" s="33"/>
      <c r="D862" s="33"/>
      <c r="F862" s="17"/>
    </row>
    <row r="863">
      <c r="A863" s="33"/>
      <c r="B863" s="32"/>
      <c r="C863" s="33"/>
      <c r="D863" s="33"/>
      <c r="F863" s="17"/>
    </row>
    <row r="864">
      <c r="A864" s="33"/>
      <c r="B864" s="32"/>
      <c r="C864" s="33"/>
      <c r="D864" s="33"/>
      <c r="F864" s="17"/>
    </row>
    <row r="865">
      <c r="A865" s="33"/>
      <c r="B865" s="32"/>
      <c r="C865" s="33"/>
      <c r="D865" s="33"/>
      <c r="F865" s="17"/>
    </row>
    <row r="866">
      <c r="A866" s="33"/>
      <c r="B866" s="32"/>
      <c r="C866" s="33"/>
      <c r="D866" s="33"/>
      <c r="F866" s="17"/>
    </row>
    <row r="867">
      <c r="A867" s="33"/>
      <c r="B867" s="32"/>
      <c r="C867" s="33"/>
      <c r="D867" s="33"/>
      <c r="F867" s="17"/>
    </row>
    <row r="868">
      <c r="A868" s="33"/>
      <c r="B868" s="32"/>
      <c r="C868" s="33"/>
      <c r="D868" s="33"/>
      <c r="F868" s="17"/>
    </row>
    <row r="869">
      <c r="A869" s="33"/>
      <c r="B869" s="32"/>
      <c r="C869" s="33"/>
      <c r="D869" s="33"/>
      <c r="F869" s="17"/>
    </row>
    <row r="870">
      <c r="A870" s="33"/>
      <c r="B870" s="32"/>
      <c r="C870" s="33"/>
      <c r="D870" s="33"/>
      <c r="F870" s="17"/>
    </row>
    <row r="871">
      <c r="A871" s="33"/>
      <c r="B871" s="32"/>
      <c r="C871" s="33"/>
      <c r="D871" s="33"/>
      <c r="F871" s="17"/>
    </row>
    <row r="872">
      <c r="A872" s="33"/>
      <c r="B872" s="32"/>
      <c r="C872" s="33"/>
      <c r="D872" s="33"/>
      <c r="F872" s="17"/>
    </row>
    <row r="873">
      <c r="A873" s="33"/>
      <c r="B873" s="32"/>
      <c r="C873" s="33"/>
      <c r="D873" s="33"/>
      <c r="F873" s="17"/>
    </row>
    <row r="874">
      <c r="A874" s="33"/>
      <c r="B874" s="32"/>
      <c r="C874" s="33"/>
      <c r="D874" s="33"/>
      <c r="F874" s="17"/>
    </row>
    <row r="875">
      <c r="A875" s="33"/>
      <c r="B875" s="32"/>
      <c r="C875" s="33"/>
      <c r="D875" s="33"/>
      <c r="F875" s="17"/>
    </row>
    <row r="876">
      <c r="A876" s="33"/>
      <c r="B876" s="32"/>
      <c r="C876" s="33"/>
      <c r="D876" s="33"/>
      <c r="F876" s="17"/>
    </row>
    <row r="877">
      <c r="A877" s="33"/>
      <c r="B877" s="32"/>
      <c r="C877" s="33"/>
      <c r="D877" s="33"/>
      <c r="F877" s="17"/>
    </row>
    <row r="878">
      <c r="A878" s="33"/>
      <c r="B878" s="32"/>
      <c r="C878" s="33"/>
      <c r="D878" s="33"/>
      <c r="F878" s="17"/>
    </row>
    <row r="879">
      <c r="A879" s="33"/>
      <c r="B879" s="32"/>
      <c r="C879" s="33"/>
      <c r="D879" s="33"/>
      <c r="F879" s="17"/>
    </row>
    <row r="880">
      <c r="A880" s="33"/>
      <c r="B880" s="32"/>
      <c r="C880" s="33"/>
      <c r="D880" s="33"/>
      <c r="F880" s="17"/>
    </row>
    <row r="881">
      <c r="A881" s="33"/>
      <c r="B881" s="32"/>
      <c r="C881" s="33"/>
      <c r="D881" s="33"/>
      <c r="F881" s="17"/>
    </row>
    <row r="882">
      <c r="A882" s="33"/>
      <c r="B882" s="32"/>
      <c r="C882" s="33"/>
      <c r="D882" s="33"/>
      <c r="F882" s="17"/>
    </row>
    <row r="883">
      <c r="A883" s="33"/>
      <c r="B883" s="32"/>
      <c r="C883" s="33"/>
      <c r="D883" s="33"/>
      <c r="F883" s="17"/>
    </row>
    <row r="884">
      <c r="A884" s="33"/>
      <c r="B884" s="32"/>
      <c r="C884" s="33"/>
      <c r="D884" s="33"/>
      <c r="F884" s="17"/>
    </row>
    <row r="885">
      <c r="A885" s="33"/>
      <c r="B885" s="32"/>
      <c r="C885" s="33"/>
      <c r="D885" s="33"/>
      <c r="F885" s="17"/>
    </row>
    <row r="886">
      <c r="A886" s="33"/>
      <c r="B886" s="32"/>
      <c r="C886" s="33"/>
      <c r="D886" s="33"/>
      <c r="F886" s="17"/>
    </row>
    <row r="887">
      <c r="A887" s="33"/>
      <c r="B887" s="32"/>
      <c r="C887" s="33"/>
      <c r="D887" s="33"/>
      <c r="F887" s="17"/>
    </row>
    <row r="888">
      <c r="A888" s="33"/>
      <c r="B888" s="32"/>
      <c r="C888" s="33"/>
      <c r="D888" s="33"/>
      <c r="F888" s="17"/>
    </row>
    <row r="889">
      <c r="A889" s="33"/>
      <c r="B889" s="32"/>
      <c r="C889" s="33"/>
      <c r="D889" s="33"/>
      <c r="F889" s="17"/>
    </row>
    <row r="890">
      <c r="A890" s="33"/>
      <c r="B890" s="32"/>
      <c r="C890" s="33"/>
      <c r="D890" s="33"/>
      <c r="F890" s="17"/>
    </row>
    <row r="891">
      <c r="A891" s="33"/>
      <c r="B891" s="32"/>
      <c r="C891" s="33"/>
      <c r="D891" s="33"/>
      <c r="F891" s="17"/>
    </row>
    <row r="892">
      <c r="A892" s="33"/>
      <c r="B892" s="32"/>
      <c r="C892" s="33"/>
      <c r="D892" s="33"/>
      <c r="F892" s="17"/>
    </row>
    <row r="893">
      <c r="A893" s="33"/>
      <c r="B893" s="32"/>
      <c r="C893" s="33"/>
      <c r="D893" s="33"/>
      <c r="F893" s="17"/>
    </row>
    <row r="894">
      <c r="A894" s="33"/>
      <c r="B894" s="32"/>
      <c r="C894" s="33"/>
      <c r="D894" s="33"/>
      <c r="F894" s="17"/>
    </row>
    <row r="895">
      <c r="A895" s="33"/>
      <c r="B895" s="32"/>
      <c r="C895" s="33"/>
      <c r="D895" s="33"/>
      <c r="F895" s="17"/>
    </row>
    <row r="896">
      <c r="A896" s="33"/>
      <c r="B896" s="32"/>
      <c r="C896" s="33"/>
      <c r="D896" s="33"/>
      <c r="F896" s="17"/>
    </row>
    <row r="897">
      <c r="A897" s="33"/>
      <c r="B897" s="32"/>
      <c r="C897" s="33"/>
      <c r="D897" s="33"/>
      <c r="F897" s="17"/>
    </row>
    <row r="898">
      <c r="A898" s="33"/>
      <c r="B898" s="32"/>
      <c r="C898" s="33"/>
      <c r="D898" s="33"/>
      <c r="F898" s="17"/>
    </row>
    <row r="899">
      <c r="A899" s="33"/>
      <c r="B899" s="32"/>
      <c r="C899" s="33"/>
      <c r="D899" s="33"/>
      <c r="F899" s="17"/>
    </row>
    <row r="900">
      <c r="A900" s="33"/>
      <c r="B900" s="32"/>
      <c r="C900" s="33"/>
      <c r="D900" s="33"/>
      <c r="F900" s="17"/>
    </row>
    <row r="901">
      <c r="A901" s="33"/>
      <c r="B901" s="32"/>
      <c r="C901" s="33"/>
      <c r="D901" s="33"/>
      <c r="F901" s="17"/>
    </row>
    <row r="902">
      <c r="A902" s="33"/>
      <c r="B902" s="32"/>
      <c r="C902" s="33"/>
      <c r="D902" s="33"/>
      <c r="F902" s="17"/>
    </row>
    <row r="903">
      <c r="A903" s="33"/>
      <c r="B903" s="32"/>
      <c r="C903" s="33"/>
      <c r="D903" s="33"/>
      <c r="F903" s="17"/>
    </row>
    <row r="904">
      <c r="A904" s="33"/>
      <c r="B904" s="32"/>
      <c r="C904" s="33"/>
      <c r="D904" s="33"/>
      <c r="F904" s="17"/>
    </row>
    <row r="905">
      <c r="A905" s="33"/>
      <c r="B905" s="32"/>
      <c r="C905" s="33"/>
      <c r="D905" s="33"/>
      <c r="F905" s="17"/>
    </row>
    <row r="906">
      <c r="A906" s="33"/>
      <c r="B906" s="32"/>
      <c r="C906" s="33"/>
      <c r="D906" s="33"/>
      <c r="F906" s="17"/>
    </row>
    <row r="907">
      <c r="A907" s="33"/>
      <c r="B907" s="32"/>
      <c r="C907" s="33"/>
      <c r="D907" s="33"/>
      <c r="F907" s="17"/>
    </row>
    <row r="908">
      <c r="A908" s="33"/>
      <c r="B908" s="32"/>
      <c r="C908" s="33"/>
      <c r="D908" s="33"/>
      <c r="F908" s="17"/>
    </row>
    <row r="909">
      <c r="A909" s="33"/>
      <c r="B909" s="32"/>
      <c r="C909" s="33"/>
      <c r="D909" s="33"/>
      <c r="F909" s="17"/>
    </row>
    <row r="910">
      <c r="A910" s="33"/>
      <c r="B910" s="32"/>
      <c r="C910" s="33"/>
      <c r="D910" s="33"/>
      <c r="F910" s="17"/>
    </row>
    <row r="911">
      <c r="A911" s="33"/>
      <c r="B911" s="32"/>
      <c r="C911" s="33"/>
      <c r="D911" s="33"/>
      <c r="F911" s="17"/>
    </row>
    <row r="912">
      <c r="A912" s="33"/>
      <c r="B912" s="32"/>
      <c r="C912" s="33"/>
      <c r="D912" s="33"/>
      <c r="F912" s="17"/>
    </row>
    <row r="913">
      <c r="A913" s="33"/>
      <c r="B913" s="32"/>
      <c r="C913" s="33"/>
      <c r="D913" s="33"/>
      <c r="F913" s="17"/>
    </row>
    <row r="914">
      <c r="A914" s="33"/>
      <c r="B914" s="32"/>
      <c r="C914" s="33"/>
      <c r="D914" s="33"/>
      <c r="F914" s="17"/>
    </row>
    <row r="915">
      <c r="A915" s="33"/>
      <c r="B915" s="32"/>
      <c r="C915" s="33"/>
      <c r="D915" s="33"/>
      <c r="F915" s="17"/>
    </row>
    <row r="916">
      <c r="A916" s="33"/>
      <c r="B916" s="32"/>
      <c r="C916" s="33"/>
      <c r="D916" s="33"/>
      <c r="F916" s="17"/>
    </row>
    <row r="917">
      <c r="A917" s="33"/>
      <c r="B917" s="32"/>
      <c r="C917" s="33"/>
      <c r="D917" s="33"/>
      <c r="F917" s="17"/>
    </row>
    <row r="918">
      <c r="A918" s="33"/>
      <c r="B918" s="32"/>
      <c r="C918" s="33"/>
      <c r="D918" s="33"/>
      <c r="F918" s="17"/>
    </row>
    <row r="919">
      <c r="A919" s="33"/>
      <c r="B919" s="32"/>
      <c r="C919" s="33"/>
      <c r="D919" s="33"/>
      <c r="F919" s="17"/>
    </row>
    <row r="920">
      <c r="A920" s="33"/>
      <c r="B920" s="32"/>
      <c r="C920" s="33"/>
      <c r="D920" s="33"/>
      <c r="F920" s="17"/>
    </row>
    <row r="921">
      <c r="A921" s="33"/>
      <c r="B921" s="32"/>
      <c r="C921" s="33"/>
      <c r="D921" s="33"/>
      <c r="F921" s="17"/>
    </row>
    <row r="922">
      <c r="A922" s="33"/>
      <c r="B922" s="32"/>
      <c r="C922" s="33"/>
      <c r="D922" s="33"/>
      <c r="F922" s="17"/>
    </row>
    <row r="923">
      <c r="A923" s="33"/>
      <c r="B923" s="32"/>
      <c r="C923" s="33"/>
      <c r="D923" s="33"/>
      <c r="F923" s="17"/>
    </row>
    <row r="924">
      <c r="A924" s="33"/>
      <c r="B924" s="32"/>
      <c r="C924" s="33"/>
      <c r="D924" s="33"/>
      <c r="F924" s="17"/>
    </row>
    <row r="925">
      <c r="A925" s="33"/>
      <c r="B925" s="32"/>
      <c r="C925" s="33"/>
      <c r="D925" s="33"/>
      <c r="F925" s="17"/>
    </row>
    <row r="926">
      <c r="A926" s="33"/>
      <c r="B926" s="32"/>
      <c r="C926" s="33"/>
      <c r="D926" s="33"/>
      <c r="F926" s="17"/>
    </row>
    <row r="927">
      <c r="A927" s="33"/>
      <c r="B927" s="32"/>
      <c r="C927" s="33"/>
      <c r="D927" s="33"/>
      <c r="F927" s="17"/>
    </row>
    <row r="928">
      <c r="A928" s="33"/>
      <c r="B928" s="32"/>
      <c r="C928" s="33"/>
      <c r="D928" s="33"/>
      <c r="F928" s="17"/>
    </row>
    <row r="929">
      <c r="A929" s="33"/>
      <c r="B929" s="32"/>
      <c r="C929" s="33"/>
      <c r="D929" s="33"/>
      <c r="F929" s="17"/>
    </row>
    <row r="930">
      <c r="A930" s="33"/>
      <c r="B930" s="32"/>
      <c r="C930" s="33"/>
      <c r="D930" s="33"/>
      <c r="F930" s="17"/>
    </row>
    <row r="931">
      <c r="A931" s="33"/>
      <c r="B931" s="32"/>
      <c r="C931" s="33"/>
      <c r="D931" s="33"/>
      <c r="F931" s="17"/>
    </row>
    <row r="932">
      <c r="A932" s="33"/>
      <c r="B932" s="32"/>
      <c r="C932" s="33"/>
      <c r="D932" s="33"/>
      <c r="F932" s="17"/>
    </row>
    <row r="933">
      <c r="A933" s="33"/>
      <c r="B933" s="32"/>
      <c r="C933" s="33"/>
      <c r="D933" s="33"/>
      <c r="F933" s="17"/>
    </row>
    <row r="934">
      <c r="A934" s="33"/>
      <c r="B934" s="32"/>
      <c r="C934" s="33"/>
      <c r="D934" s="33"/>
      <c r="F934" s="17"/>
    </row>
    <row r="935">
      <c r="A935" s="33"/>
      <c r="B935" s="32"/>
      <c r="C935" s="33"/>
      <c r="D935" s="33"/>
      <c r="F935" s="17"/>
    </row>
    <row r="936">
      <c r="A936" s="33"/>
      <c r="B936" s="32"/>
      <c r="C936" s="33"/>
      <c r="D936" s="33"/>
      <c r="F936" s="17"/>
    </row>
    <row r="937">
      <c r="A937" s="33"/>
      <c r="B937" s="32"/>
      <c r="C937" s="33"/>
      <c r="D937" s="33"/>
      <c r="F937" s="17"/>
    </row>
    <row r="938">
      <c r="A938" s="33"/>
      <c r="B938" s="32"/>
      <c r="C938" s="33"/>
      <c r="D938" s="33"/>
      <c r="F938" s="17"/>
    </row>
    <row r="939">
      <c r="A939" s="33"/>
      <c r="B939" s="32"/>
      <c r="C939" s="33"/>
      <c r="D939" s="33"/>
      <c r="F939" s="17"/>
    </row>
    <row r="940">
      <c r="A940" s="33"/>
      <c r="B940" s="32"/>
      <c r="C940" s="33"/>
      <c r="D940" s="33"/>
      <c r="F940" s="17"/>
    </row>
    <row r="941">
      <c r="A941" s="33"/>
      <c r="B941" s="32"/>
      <c r="C941" s="33"/>
      <c r="D941" s="33"/>
      <c r="F941" s="17"/>
    </row>
    <row r="942">
      <c r="A942" s="33"/>
      <c r="B942" s="32"/>
      <c r="C942" s="33"/>
      <c r="D942" s="33"/>
      <c r="F942" s="17"/>
    </row>
    <row r="943">
      <c r="A943" s="33"/>
      <c r="B943" s="32"/>
      <c r="C943" s="33"/>
      <c r="D943" s="33"/>
      <c r="F943" s="17"/>
    </row>
    <row r="944">
      <c r="A944" s="33"/>
      <c r="B944" s="32"/>
      <c r="C944" s="33"/>
      <c r="D944" s="33"/>
      <c r="F944" s="17"/>
    </row>
    <row r="945">
      <c r="A945" s="33"/>
      <c r="B945" s="32"/>
      <c r="C945" s="33"/>
      <c r="D945" s="33"/>
      <c r="F945" s="17"/>
    </row>
    <row r="946">
      <c r="A946" s="33"/>
      <c r="B946" s="32"/>
      <c r="C946" s="33"/>
      <c r="D946" s="33"/>
      <c r="F946" s="17"/>
    </row>
    <row r="947">
      <c r="A947" s="33"/>
      <c r="B947" s="32"/>
      <c r="C947" s="33"/>
      <c r="D947" s="33"/>
      <c r="F947" s="17"/>
    </row>
    <row r="948">
      <c r="A948" s="33"/>
      <c r="B948" s="32"/>
      <c r="C948" s="33"/>
      <c r="D948" s="33"/>
      <c r="F948" s="17"/>
    </row>
    <row r="949">
      <c r="A949" s="33"/>
      <c r="B949" s="32"/>
      <c r="C949" s="33"/>
      <c r="D949" s="33"/>
      <c r="F949" s="17"/>
    </row>
    <row r="950">
      <c r="A950" s="33"/>
      <c r="B950" s="32"/>
      <c r="C950" s="33"/>
      <c r="D950" s="33"/>
      <c r="F950" s="17"/>
    </row>
    <row r="951">
      <c r="A951" s="33"/>
      <c r="B951" s="32"/>
      <c r="C951" s="33"/>
      <c r="D951" s="33"/>
      <c r="F951" s="17"/>
    </row>
    <row r="952">
      <c r="A952" s="33"/>
      <c r="B952" s="32"/>
      <c r="C952" s="33"/>
      <c r="D952" s="33"/>
      <c r="F952" s="17"/>
    </row>
    <row r="953">
      <c r="A953" s="33"/>
      <c r="B953" s="32"/>
      <c r="C953" s="33"/>
      <c r="D953" s="33"/>
      <c r="F953" s="17"/>
    </row>
    <row r="954">
      <c r="A954" s="33"/>
      <c r="B954" s="32"/>
      <c r="C954" s="33"/>
      <c r="D954" s="33"/>
      <c r="F954" s="17"/>
    </row>
    <row r="955">
      <c r="A955" s="33"/>
      <c r="B955" s="32"/>
      <c r="C955" s="33"/>
      <c r="D955" s="33"/>
      <c r="F955" s="17"/>
    </row>
    <row r="956">
      <c r="A956" s="33"/>
      <c r="B956" s="32"/>
      <c r="C956" s="33"/>
      <c r="D956" s="33"/>
      <c r="F956" s="17"/>
    </row>
    <row r="957">
      <c r="A957" s="33"/>
      <c r="B957" s="32"/>
      <c r="C957" s="33"/>
      <c r="D957" s="33"/>
      <c r="F957" s="17"/>
    </row>
    <row r="958">
      <c r="A958" s="33"/>
      <c r="B958" s="32"/>
      <c r="C958" s="33"/>
      <c r="D958" s="33"/>
      <c r="F958" s="17"/>
    </row>
    <row r="959">
      <c r="A959" s="33"/>
      <c r="B959" s="32"/>
      <c r="C959" s="33"/>
      <c r="D959" s="33"/>
      <c r="F959" s="17"/>
    </row>
    <row r="960">
      <c r="A960" s="33"/>
      <c r="B960" s="32"/>
      <c r="C960" s="33"/>
      <c r="D960" s="33"/>
      <c r="F960" s="17"/>
    </row>
    <row r="961">
      <c r="A961" s="33"/>
      <c r="B961" s="32"/>
      <c r="C961" s="33"/>
      <c r="D961" s="33"/>
      <c r="F961" s="17"/>
    </row>
    <row r="962">
      <c r="A962" s="33"/>
      <c r="B962" s="32"/>
      <c r="C962" s="33"/>
      <c r="D962" s="33"/>
      <c r="F962" s="17"/>
    </row>
    <row r="963">
      <c r="A963" s="33"/>
      <c r="B963" s="32"/>
      <c r="C963" s="33"/>
      <c r="D963" s="33"/>
      <c r="F963" s="17"/>
    </row>
    <row r="964">
      <c r="A964" s="33"/>
      <c r="B964" s="32"/>
      <c r="C964" s="33"/>
      <c r="D964" s="33"/>
      <c r="F964" s="17"/>
    </row>
    <row r="965">
      <c r="A965" s="33"/>
      <c r="B965" s="32"/>
      <c r="C965" s="33"/>
      <c r="D965" s="33"/>
      <c r="F965" s="17"/>
    </row>
    <row r="966">
      <c r="A966" s="33"/>
      <c r="B966" s="32"/>
      <c r="C966" s="33"/>
      <c r="D966" s="33"/>
      <c r="F966" s="17"/>
    </row>
    <row r="967">
      <c r="A967" s="33"/>
      <c r="B967" s="32"/>
      <c r="C967" s="33"/>
      <c r="D967" s="33"/>
      <c r="F967" s="17"/>
    </row>
    <row r="968">
      <c r="A968" s="33"/>
      <c r="B968" s="32"/>
      <c r="C968" s="33"/>
      <c r="D968" s="33"/>
      <c r="F968" s="17"/>
    </row>
    <row r="969">
      <c r="A969" s="33"/>
      <c r="B969" s="32"/>
      <c r="C969" s="33"/>
      <c r="D969" s="33"/>
      <c r="F969" s="17"/>
    </row>
    <row r="970">
      <c r="A970" s="33"/>
      <c r="B970" s="32"/>
      <c r="C970" s="33"/>
      <c r="D970" s="33"/>
      <c r="F970" s="17"/>
    </row>
    <row r="971">
      <c r="A971" s="33"/>
      <c r="B971" s="32"/>
      <c r="C971" s="33"/>
      <c r="D971" s="33"/>
      <c r="F971" s="17"/>
    </row>
    <row r="972">
      <c r="A972" s="33"/>
      <c r="B972" s="32"/>
      <c r="C972" s="33"/>
      <c r="D972" s="33"/>
      <c r="F972" s="17"/>
    </row>
    <row r="973">
      <c r="A973" s="33"/>
      <c r="B973" s="32"/>
      <c r="C973" s="33"/>
      <c r="D973" s="33"/>
      <c r="F973" s="17"/>
    </row>
    <row r="974">
      <c r="A974" s="33"/>
      <c r="B974" s="32"/>
      <c r="C974" s="33"/>
      <c r="D974" s="33"/>
      <c r="F974" s="17"/>
    </row>
    <row r="975">
      <c r="A975" s="33"/>
      <c r="B975" s="32"/>
      <c r="C975" s="33"/>
      <c r="D975" s="33"/>
      <c r="F975" s="17"/>
    </row>
    <row r="976">
      <c r="A976" s="33"/>
      <c r="B976" s="32"/>
      <c r="C976" s="33"/>
      <c r="D976" s="33"/>
      <c r="F976" s="17"/>
    </row>
    <row r="977">
      <c r="A977" s="33"/>
      <c r="B977" s="32"/>
      <c r="C977" s="33"/>
      <c r="D977" s="33"/>
      <c r="F977" s="17"/>
    </row>
    <row r="978">
      <c r="A978" s="33"/>
      <c r="B978" s="32"/>
      <c r="C978" s="33"/>
      <c r="D978" s="33"/>
      <c r="F978" s="17"/>
    </row>
    <row r="979">
      <c r="A979" s="33"/>
      <c r="B979" s="32"/>
      <c r="C979" s="33"/>
      <c r="D979" s="33"/>
      <c r="F979" s="17"/>
    </row>
    <row r="980">
      <c r="A980" s="33"/>
      <c r="B980" s="32"/>
      <c r="C980" s="33"/>
      <c r="D980" s="33"/>
      <c r="F980" s="17"/>
    </row>
    <row r="981">
      <c r="A981" s="33"/>
      <c r="B981" s="32"/>
      <c r="C981" s="33"/>
      <c r="D981" s="33"/>
      <c r="F981" s="17"/>
    </row>
    <row r="982">
      <c r="A982" s="33"/>
      <c r="B982" s="32"/>
      <c r="C982" s="33"/>
      <c r="D982" s="33"/>
      <c r="F982" s="17"/>
    </row>
    <row r="983">
      <c r="A983" s="33"/>
      <c r="B983" s="32"/>
      <c r="C983" s="33"/>
      <c r="D983" s="33"/>
      <c r="F983" s="17"/>
    </row>
    <row r="984">
      <c r="A984" s="33"/>
      <c r="B984" s="32"/>
      <c r="C984" s="33"/>
      <c r="D984" s="33"/>
      <c r="F984" s="17"/>
    </row>
    <row r="985">
      <c r="A985" s="33"/>
      <c r="B985" s="32"/>
      <c r="C985" s="33"/>
      <c r="D985" s="33"/>
      <c r="F985" s="17"/>
    </row>
    <row r="986">
      <c r="A986" s="33"/>
      <c r="B986" s="32"/>
      <c r="C986" s="33"/>
      <c r="D986" s="33"/>
      <c r="F986" s="17"/>
    </row>
    <row r="987">
      <c r="A987" s="33"/>
      <c r="B987" s="32"/>
      <c r="C987" s="33"/>
      <c r="D987" s="33"/>
      <c r="F987" s="17"/>
    </row>
    <row r="988">
      <c r="A988" s="33"/>
      <c r="B988" s="32"/>
      <c r="C988" s="33"/>
      <c r="D988" s="33"/>
      <c r="F988" s="17"/>
    </row>
    <row r="989">
      <c r="A989" s="33"/>
      <c r="B989" s="32"/>
      <c r="C989" s="33"/>
      <c r="D989" s="33"/>
      <c r="F989" s="17"/>
    </row>
    <row r="990">
      <c r="A990" s="33"/>
      <c r="B990" s="32"/>
      <c r="C990" s="33"/>
      <c r="D990" s="33"/>
      <c r="F990" s="17"/>
    </row>
    <row r="991">
      <c r="A991" s="33"/>
      <c r="B991" s="32"/>
      <c r="C991" s="33"/>
      <c r="D991" s="33"/>
      <c r="F991" s="17"/>
    </row>
    <row r="992">
      <c r="A992" s="33"/>
      <c r="B992" s="32"/>
      <c r="C992" s="33"/>
      <c r="D992" s="33"/>
      <c r="F992" s="17"/>
    </row>
    <row r="993">
      <c r="A993" s="33"/>
      <c r="B993" s="32"/>
      <c r="C993" s="33"/>
      <c r="D993" s="33"/>
      <c r="F993" s="17"/>
    </row>
    <row r="994">
      <c r="A994" s="33"/>
      <c r="B994" s="32"/>
      <c r="C994" s="33"/>
      <c r="D994" s="33"/>
      <c r="F994" s="17"/>
    </row>
    <row r="995">
      <c r="A995" s="33"/>
      <c r="B995" s="32"/>
      <c r="C995" s="33"/>
      <c r="D995" s="33"/>
      <c r="F995" s="17"/>
    </row>
    <row r="996">
      <c r="A996" s="33"/>
      <c r="B996" s="32"/>
      <c r="C996" s="33"/>
      <c r="D996" s="33"/>
      <c r="F996" s="17"/>
    </row>
    <row r="997">
      <c r="A997" s="33"/>
      <c r="B997" s="32"/>
      <c r="C997" s="33"/>
      <c r="D997" s="33"/>
      <c r="F997" s="17"/>
    </row>
    <row r="998">
      <c r="A998" s="33"/>
      <c r="B998" s="32"/>
      <c r="C998" s="33"/>
      <c r="D998" s="33"/>
      <c r="F998" s="17"/>
    </row>
    <row r="999">
      <c r="A999" s="33"/>
      <c r="B999" s="33"/>
      <c r="C999" s="33"/>
      <c r="D999" s="33"/>
      <c r="F999" s="17"/>
    </row>
  </sheetData>
  <drawing r:id="rId1"/>
</worksheet>
</file>