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ni\Downloads\"/>
    </mc:Choice>
  </mc:AlternateContent>
  <bookViews>
    <workbookView xWindow="360" yWindow="45" windowWidth="20730" windowHeight="9975" activeTab="8"/>
  </bookViews>
  <sheets>
    <sheet name="Assumptions" sheetId="4" r:id="rId1"/>
    <sheet name="BS" sheetId="1" r:id="rId2"/>
    <sheet name="PL" sheetId="2" r:id="rId3"/>
    <sheet name="Depn" sheetId="5" r:id="rId4"/>
    <sheet name="Tax" sheetId="6" r:id="rId5"/>
    <sheet name="Int from Debt" sheetId="3" r:id="rId6"/>
    <sheet name="Share Price" sheetId="7" r:id="rId7"/>
    <sheet name="Nifty" sheetId="8" r:id="rId8"/>
    <sheet name="CF" sheetId="9" r:id="rId9"/>
  </sheets>
  <calcPr calcId="152511" iterate="1"/>
</workbook>
</file>

<file path=xl/calcChain.xml><?xml version="1.0" encoding="utf-8"?>
<calcChain xmlns="http://schemas.openxmlformats.org/spreadsheetml/2006/main">
  <c r="Q13" i="2" l="1"/>
  <c r="Q12" i="2"/>
  <c r="D12" i="8"/>
  <c r="D23" i="8"/>
  <c r="D24" i="8"/>
  <c r="D34" i="8"/>
  <c r="D44" i="8"/>
  <c r="D46" i="8"/>
  <c r="D55" i="8"/>
  <c r="D66" i="8"/>
  <c r="D67" i="8"/>
  <c r="D76" i="8"/>
  <c r="D87" i="8"/>
  <c r="D88" i="8"/>
  <c r="D96" i="8"/>
  <c r="D104" i="8"/>
  <c r="D105" i="8"/>
  <c r="D112" i="8"/>
  <c r="D120" i="8"/>
  <c r="D121" i="8"/>
  <c r="D128" i="8"/>
  <c r="D136" i="8"/>
  <c r="D137" i="8"/>
  <c r="D144" i="8"/>
  <c r="D152" i="8"/>
  <c r="D153" i="8"/>
  <c r="D160" i="8"/>
  <c r="D168" i="8"/>
  <c r="D169" i="8"/>
  <c r="D176" i="8"/>
  <c r="D181" i="8"/>
  <c r="D183" i="8"/>
  <c r="D187" i="8"/>
  <c r="D192" i="8"/>
  <c r="D193" i="8"/>
  <c r="D197" i="8"/>
  <c r="D203" i="8"/>
  <c r="D204" i="8"/>
  <c r="D208" i="8"/>
  <c r="D213" i="8"/>
  <c r="D215" i="8"/>
  <c r="D219" i="8"/>
  <c r="D224" i="8"/>
  <c r="D225" i="8"/>
  <c r="D229" i="8"/>
  <c r="D235" i="8"/>
  <c r="D236" i="8"/>
  <c r="D240" i="8"/>
  <c r="D245" i="8"/>
  <c r="D247" i="8"/>
  <c r="D251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E34" i="8" s="1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E66" i="8" s="1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E96" i="8" s="1"/>
  <c r="C97" i="8"/>
  <c r="C98" i="8"/>
  <c r="C99" i="8"/>
  <c r="C100" i="8"/>
  <c r="C101" i="8"/>
  <c r="C102" i="8"/>
  <c r="C103" i="8"/>
  <c r="C104" i="8"/>
  <c r="E104" i="8" s="1"/>
  <c r="C105" i="8"/>
  <c r="E105" i="8" s="1"/>
  <c r="C106" i="8"/>
  <c r="C107" i="8"/>
  <c r="C108" i="8"/>
  <c r="C109" i="8"/>
  <c r="C110" i="8"/>
  <c r="C111" i="8"/>
  <c r="C112" i="8"/>
  <c r="E112" i="8" s="1"/>
  <c r="C113" i="8"/>
  <c r="C114" i="8"/>
  <c r="C115" i="8"/>
  <c r="C116" i="8"/>
  <c r="C117" i="8"/>
  <c r="C118" i="8"/>
  <c r="C119" i="8"/>
  <c r="C120" i="8"/>
  <c r="E120" i="8" s="1"/>
  <c r="C121" i="8"/>
  <c r="E121" i="8" s="1"/>
  <c r="C122" i="8"/>
  <c r="C123" i="8"/>
  <c r="C124" i="8"/>
  <c r="C125" i="8"/>
  <c r="C126" i="8"/>
  <c r="C127" i="8"/>
  <c r="C128" i="8"/>
  <c r="E128" i="8" s="1"/>
  <c r="C129" i="8"/>
  <c r="C130" i="8"/>
  <c r="C131" i="8"/>
  <c r="C132" i="8"/>
  <c r="C133" i="8"/>
  <c r="C134" i="8"/>
  <c r="C135" i="8"/>
  <c r="C136" i="8"/>
  <c r="E136" i="8" s="1"/>
  <c r="C137" i="8"/>
  <c r="E137" i="8" s="1"/>
  <c r="C138" i="8"/>
  <c r="C139" i="8"/>
  <c r="C140" i="8"/>
  <c r="C141" i="8"/>
  <c r="C142" i="8"/>
  <c r="C143" i="8"/>
  <c r="C144" i="8"/>
  <c r="E144" i="8" s="1"/>
  <c r="C145" i="8"/>
  <c r="C146" i="8"/>
  <c r="C147" i="8"/>
  <c r="C148" i="8"/>
  <c r="C149" i="8"/>
  <c r="C150" i="8"/>
  <c r="C151" i="8"/>
  <c r="C152" i="8"/>
  <c r="E152" i="8" s="1"/>
  <c r="C153" i="8"/>
  <c r="E153" i="8" s="1"/>
  <c r="C154" i="8"/>
  <c r="C155" i="8"/>
  <c r="C156" i="8"/>
  <c r="C157" i="8"/>
  <c r="C158" i="8"/>
  <c r="C159" i="8"/>
  <c r="C160" i="8"/>
  <c r="E160" i="8" s="1"/>
  <c r="C161" i="8"/>
  <c r="C162" i="8"/>
  <c r="C163" i="8"/>
  <c r="C164" i="8"/>
  <c r="C165" i="8"/>
  <c r="C166" i="8"/>
  <c r="C167" i="8"/>
  <c r="C168" i="8"/>
  <c r="E168" i="8" s="1"/>
  <c r="C169" i="8"/>
  <c r="E169" i="8" s="1"/>
  <c r="C170" i="8"/>
  <c r="C171" i="8"/>
  <c r="C172" i="8"/>
  <c r="C173" i="8"/>
  <c r="C174" i="8"/>
  <c r="C175" i="8"/>
  <c r="C176" i="8"/>
  <c r="E176" i="8" s="1"/>
  <c r="C177" i="8"/>
  <c r="C178" i="8"/>
  <c r="C179" i="8"/>
  <c r="C180" i="8"/>
  <c r="C181" i="8"/>
  <c r="E181" i="8" s="1"/>
  <c r="C182" i="8"/>
  <c r="C183" i="8"/>
  <c r="C184" i="8"/>
  <c r="C185" i="8"/>
  <c r="C186" i="8"/>
  <c r="C187" i="8"/>
  <c r="C188" i="8"/>
  <c r="C189" i="8"/>
  <c r="C190" i="8"/>
  <c r="C191" i="8"/>
  <c r="C192" i="8"/>
  <c r="E192" i="8" s="1"/>
  <c r="C193" i="8"/>
  <c r="E193" i="8" s="1"/>
  <c r="C194" i="8"/>
  <c r="C195" i="8"/>
  <c r="C196" i="8"/>
  <c r="C197" i="8"/>
  <c r="E197" i="8" s="1"/>
  <c r="C198" i="8"/>
  <c r="C199" i="8"/>
  <c r="C200" i="8"/>
  <c r="C201" i="8"/>
  <c r="C202" i="8"/>
  <c r="C203" i="8"/>
  <c r="C204" i="8"/>
  <c r="C205" i="8"/>
  <c r="C206" i="8"/>
  <c r="C207" i="8"/>
  <c r="C208" i="8"/>
  <c r="E208" i="8" s="1"/>
  <c r="C209" i="8"/>
  <c r="C210" i="8"/>
  <c r="C211" i="8"/>
  <c r="C212" i="8"/>
  <c r="C213" i="8"/>
  <c r="E213" i="8" s="1"/>
  <c r="C214" i="8"/>
  <c r="C215" i="8"/>
  <c r="C216" i="8"/>
  <c r="C217" i="8"/>
  <c r="C218" i="8"/>
  <c r="C219" i="8"/>
  <c r="C220" i="8"/>
  <c r="C221" i="8"/>
  <c r="C222" i="8"/>
  <c r="C223" i="8"/>
  <c r="C224" i="8"/>
  <c r="E224" i="8" s="1"/>
  <c r="C225" i="8"/>
  <c r="E225" i="8" s="1"/>
  <c r="C226" i="8"/>
  <c r="C227" i="8"/>
  <c r="C228" i="8"/>
  <c r="C229" i="8"/>
  <c r="E229" i="8" s="1"/>
  <c r="C230" i="8"/>
  <c r="C231" i="8"/>
  <c r="C232" i="8"/>
  <c r="C233" i="8"/>
  <c r="C234" i="8"/>
  <c r="C235" i="8"/>
  <c r="C236" i="8"/>
  <c r="C237" i="8"/>
  <c r="C238" i="8"/>
  <c r="C239" i="8"/>
  <c r="C240" i="8"/>
  <c r="E240" i="8" s="1"/>
  <c r="C241" i="8"/>
  <c r="C242" i="8"/>
  <c r="C243" i="8"/>
  <c r="C244" i="8"/>
  <c r="C245" i="8"/>
  <c r="E245" i="8" s="1"/>
  <c r="C246" i="8"/>
  <c r="C247" i="8"/>
  <c r="C248" i="8"/>
  <c r="C249" i="8"/>
  <c r="C250" i="8"/>
  <c r="C251" i="8"/>
  <c r="C252" i="8"/>
  <c r="C253" i="8"/>
  <c r="C3" i="8"/>
  <c r="H4" i="8"/>
  <c r="B59" i="1"/>
  <c r="C56" i="1"/>
  <c r="D56" i="1" s="1"/>
  <c r="E56" i="1" s="1"/>
  <c r="F56" i="1" s="1"/>
  <c r="G56" i="1" s="1"/>
  <c r="H56" i="1" s="1"/>
  <c r="C45" i="1"/>
  <c r="D45" i="1" s="1"/>
  <c r="E45" i="1" s="1"/>
  <c r="F45" i="1" s="1"/>
  <c r="G45" i="1" s="1"/>
  <c r="H45" i="1" s="1"/>
  <c r="C42" i="1"/>
  <c r="D42" i="1" s="1"/>
  <c r="E42" i="1" s="1"/>
  <c r="F42" i="1" s="1"/>
  <c r="G42" i="1" s="1"/>
  <c r="H42" i="1" s="1"/>
  <c r="C30" i="1"/>
  <c r="D30" i="1" s="1"/>
  <c r="E30" i="1" s="1"/>
  <c r="F30" i="1" s="1"/>
  <c r="G30" i="1" s="1"/>
  <c r="H30" i="1" s="1"/>
  <c r="C25" i="1"/>
  <c r="D25" i="1" s="1"/>
  <c r="E25" i="1" s="1"/>
  <c r="F25" i="1" s="1"/>
  <c r="G25" i="1" s="1"/>
  <c r="H25" i="1" s="1"/>
  <c r="C14" i="1"/>
  <c r="D14" i="1" s="1"/>
  <c r="E14" i="1" s="1"/>
  <c r="F14" i="1" s="1"/>
  <c r="G14" i="1" s="1"/>
  <c r="H14" i="1" s="1"/>
  <c r="B9" i="3"/>
  <c r="B7" i="5"/>
  <c r="E243" i="8" l="1"/>
  <c r="E178" i="8"/>
  <c r="E94" i="8"/>
  <c r="E221" i="8"/>
  <c r="E125" i="8"/>
  <c r="E93" i="8"/>
  <c r="E61" i="8"/>
  <c r="E29" i="8"/>
  <c r="E81" i="8"/>
  <c r="E53" i="8"/>
  <c r="E45" i="8"/>
  <c r="E33" i="8"/>
  <c r="E17" i="8"/>
  <c r="E13" i="8"/>
  <c r="E185" i="8"/>
  <c r="E252" i="8"/>
  <c r="E236" i="8"/>
  <c r="E212" i="8"/>
  <c r="E204" i="8"/>
  <c r="E88" i="8"/>
  <c r="D5" i="8"/>
  <c r="E5" i="8" s="1"/>
  <c r="D9" i="8"/>
  <c r="E9" i="8" s="1"/>
  <c r="D13" i="8"/>
  <c r="D17" i="8"/>
  <c r="D21" i="8"/>
  <c r="E21" i="8" s="1"/>
  <c r="D25" i="8"/>
  <c r="E25" i="8" s="1"/>
  <c r="D29" i="8"/>
  <c r="D33" i="8"/>
  <c r="D37" i="8"/>
  <c r="E37" i="8" s="1"/>
  <c r="D41" i="8"/>
  <c r="E41" i="8" s="1"/>
  <c r="D45" i="8"/>
  <c r="D49" i="8"/>
  <c r="E49" i="8" s="1"/>
  <c r="D53" i="8"/>
  <c r="D57" i="8"/>
  <c r="E57" i="8" s="1"/>
  <c r="D61" i="8"/>
  <c r="D65" i="8"/>
  <c r="E65" i="8" s="1"/>
  <c r="D69" i="8"/>
  <c r="E69" i="8" s="1"/>
  <c r="D73" i="8"/>
  <c r="E73" i="8" s="1"/>
  <c r="D77" i="8"/>
  <c r="E77" i="8" s="1"/>
  <c r="D81" i="8"/>
  <c r="D85" i="8"/>
  <c r="E85" i="8" s="1"/>
  <c r="D89" i="8"/>
  <c r="E89" i="8" s="1"/>
  <c r="D4" i="8"/>
  <c r="D10" i="8"/>
  <c r="D15" i="8"/>
  <c r="D20" i="8"/>
  <c r="D26" i="8"/>
  <c r="D31" i="8"/>
  <c r="D36" i="8"/>
  <c r="D42" i="8"/>
  <c r="E42" i="8" s="1"/>
  <c r="D47" i="8"/>
  <c r="D52" i="8"/>
  <c r="D58" i="8"/>
  <c r="D63" i="8"/>
  <c r="D68" i="8"/>
  <c r="D74" i="8"/>
  <c r="D79" i="8"/>
  <c r="D84" i="8"/>
  <c r="D90" i="8"/>
  <c r="D94" i="8"/>
  <c r="D98" i="8"/>
  <c r="D102" i="8"/>
  <c r="D106" i="8"/>
  <c r="D110" i="8"/>
  <c r="D114" i="8"/>
  <c r="E114" i="8" s="1"/>
  <c r="D118" i="8"/>
  <c r="D122" i="8"/>
  <c r="D126" i="8"/>
  <c r="E126" i="8" s="1"/>
  <c r="D130" i="8"/>
  <c r="D134" i="8"/>
  <c r="E134" i="8" s="1"/>
  <c r="D138" i="8"/>
  <c r="D142" i="8"/>
  <c r="D146" i="8"/>
  <c r="E146" i="8" s="1"/>
  <c r="D150" i="8"/>
  <c r="E150" i="8" s="1"/>
  <c r="D154" i="8"/>
  <c r="D158" i="8"/>
  <c r="E158" i="8" s="1"/>
  <c r="D162" i="8"/>
  <c r="D166" i="8"/>
  <c r="D170" i="8"/>
  <c r="D174" i="8"/>
  <c r="D178" i="8"/>
  <c r="D182" i="8"/>
  <c r="D186" i="8"/>
  <c r="D190" i="8"/>
  <c r="E190" i="8" s="1"/>
  <c r="D194" i="8"/>
  <c r="D198" i="8"/>
  <c r="E198" i="8" s="1"/>
  <c r="D202" i="8"/>
  <c r="D206" i="8"/>
  <c r="D210" i="8"/>
  <c r="E210" i="8" s="1"/>
  <c r="D214" i="8"/>
  <c r="E214" i="8" s="1"/>
  <c r="D218" i="8"/>
  <c r="D222" i="8"/>
  <c r="E222" i="8" s="1"/>
  <c r="D226" i="8"/>
  <c r="D230" i="8"/>
  <c r="D234" i="8"/>
  <c r="D238" i="8"/>
  <c r="D242" i="8"/>
  <c r="E242" i="8" s="1"/>
  <c r="D246" i="8"/>
  <c r="D250" i="8"/>
  <c r="D3" i="8"/>
  <c r="E3" i="8" s="1"/>
  <c r="D6" i="8"/>
  <c r="D11" i="8"/>
  <c r="D16" i="8"/>
  <c r="D22" i="8"/>
  <c r="D27" i="8"/>
  <c r="E27" i="8" s="1"/>
  <c r="D32" i="8"/>
  <c r="E32" i="8" s="1"/>
  <c r="D38" i="8"/>
  <c r="D43" i="8"/>
  <c r="D48" i="8"/>
  <c r="E48" i="8" s="1"/>
  <c r="D54" i="8"/>
  <c r="D59" i="8"/>
  <c r="D64" i="8"/>
  <c r="D70" i="8"/>
  <c r="E70" i="8" s="1"/>
  <c r="D75" i="8"/>
  <c r="D80" i="8"/>
  <c r="D86" i="8"/>
  <c r="D91" i="8"/>
  <c r="E91" i="8" s="1"/>
  <c r="D95" i="8"/>
  <c r="D99" i="8"/>
  <c r="D103" i="8"/>
  <c r="E103" i="8" s="1"/>
  <c r="D107" i="8"/>
  <c r="D111" i="8"/>
  <c r="E111" i="8" s="1"/>
  <c r="D115" i="8"/>
  <c r="E115" i="8" s="1"/>
  <c r="D119" i="8"/>
  <c r="D123" i="8"/>
  <c r="E123" i="8" s="1"/>
  <c r="D127" i="8"/>
  <c r="D131" i="8"/>
  <c r="D135" i="8"/>
  <c r="E135" i="8" s="1"/>
  <c r="D139" i="8"/>
  <c r="D143" i="8"/>
  <c r="E143" i="8" s="1"/>
  <c r="D147" i="8"/>
  <c r="E147" i="8" s="1"/>
  <c r="D151" i="8"/>
  <c r="D155" i="8"/>
  <c r="E155" i="8" s="1"/>
  <c r="D159" i="8"/>
  <c r="D163" i="8"/>
  <c r="D167" i="8"/>
  <c r="E167" i="8" s="1"/>
  <c r="D171" i="8"/>
  <c r="D175" i="8"/>
  <c r="E175" i="8" s="1"/>
  <c r="D8" i="8"/>
  <c r="D19" i="8"/>
  <c r="E19" i="8" s="1"/>
  <c r="D30" i="8"/>
  <c r="E30" i="8" s="1"/>
  <c r="D40" i="8"/>
  <c r="E40" i="8" s="1"/>
  <c r="D51" i="8"/>
  <c r="E51" i="8" s="1"/>
  <c r="D62" i="8"/>
  <c r="E62" i="8" s="1"/>
  <c r="D72" i="8"/>
  <c r="D83" i="8"/>
  <c r="E83" i="8" s="1"/>
  <c r="D93" i="8"/>
  <c r="D101" i="8"/>
  <c r="E101" i="8" s="1"/>
  <c r="D109" i="8"/>
  <c r="E109" i="8" s="1"/>
  <c r="D117" i="8"/>
  <c r="E117" i="8" s="1"/>
  <c r="D125" i="8"/>
  <c r="D133" i="8"/>
  <c r="E133" i="8" s="1"/>
  <c r="D141" i="8"/>
  <c r="E141" i="8" s="1"/>
  <c r="D149" i="8"/>
  <c r="E149" i="8" s="1"/>
  <c r="D157" i="8"/>
  <c r="E157" i="8" s="1"/>
  <c r="D165" i="8"/>
  <c r="E165" i="8" s="1"/>
  <c r="D173" i="8"/>
  <c r="E173" i="8" s="1"/>
  <c r="D180" i="8"/>
  <c r="E180" i="8" s="1"/>
  <c r="D185" i="8"/>
  <c r="D191" i="8"/>
  <c r="D196" i="8"/>
  <c r="E196" i="8" s="1"/>
  <c r="D201" i="8"/>
  <c r="E201" i="8" s="1"/>
  <c r="D207" i="8"/>
  <c r="D212" i="8"/>
  <c r="D217" i="8"/>
  <c r="E217" i="8" s="1"/>
  <c r="D223" i="8"/>
  <c r="D228" i="8"/>
  <c r="E228" i="8" s="1"/>
  <c r="D233" i="8"/>
  <c r="E233" i="8" s="1"/>
  <c r="D239" i="8"/>
  <c r="E239" i="8" s="1"/>
  <c r="D244" i="8"/>
  <c r="E244" i="8" s="1"/>
  <c r="D249" i="8"/>
  <c r="E249" i="8" s="1"/>
  <c r="D7" i="8"/>
  <c r="E7" i="8" s="1"/>
  <c r="D18" i="8"/>
  <c r="E18" i="8" s="1"/>
  <c r="D28" i="8"/>
  <c r="E28" i="8" s="1"/>
  <c r="D39" i="8"/>
  <c r="E39" i="8" s="1"/>
  <c r="D50" i="8"/>
  <c r="E50" i="8" s="1"/>
  <c r="D60" i="8"/>
  <c r="E60" i="8" s="1"/>
  <c r="D71" i="8"/>
  <c r="E71" i="8" s="1"/>
  <c r="D82" i="8"/>
  <c r="E82" i="8" s="1"/>
  <c r="D92" i="8"/>
  <c r="E92" i="8" s="1"/>
  <c r="D100" i="8"/>
  <c r="E100" i="8" s="1"/>
  <c r="D108" i="8"/>
  <c r="E108" i="8" s="1"/>
  <c r="D116" i="8"/>
  <c r="E116" i="8" s="1"/>
  <c r="D124" i="8"/>
  <c r="E124" i="8" s="1"/>
  <c r="D132" i="8"/>
  <c r="E132" i="8" s="1"/>
  <c r="D140" i="8"/>
  <c r="E140" i="8" s="1"/>
  <c r="D148" i="8"/>
  <c r="E148" i="8" s="1"/>
  <c r="D156" i="8"/>
  <c r="E156" i="8" s="1"/>
  <c r="D164" i="8"/>
  <c r="E164" i="8" s="1"/>
  <c r="D172" i="8"/>
  <c r="E172" i="8" s="1"/>
  <c r="D179" i="8"/>
  <c r="E179" i="8" s="1"/>
  <c r="D184" i="8"/>
  <c r="E184" i="8" s="1"/>
  <c r="D189" i="8"/>
  <c r="E189" i="8" s="1"/>
  <c r="D195" i="8"/>
  <c r="E195" i="8" s="1"/>
  <c r="D200" i="8"/>
  <c r="E200" i="8" s="1"/>
  <c r="D205" i="8"/>
  <c r="E205" i="8" s="1"/>
  <c r="D211" i="8"/>
  <c r="E211" i="8" s="1"/>
  <c r="D216" i="8"/>
  <c r="E216" i="8" s="1"/>
  <c r="D221" i="8"/>
  <c r="D227" i="8"/>
  <c r="D232" i="8"/>
  <c r="E232" i="8" s="1"/>
  <c r="D237" i="8"/>
  <c r="E237" i="8" s="1"/>
  <c r="D243" i="8"/>
  <c r="D248" i="8"/>
  <c r="E248" i="8" s="1"/>
  <c r="D253" i="8"/>
  <c r="E253" i="8" s="1"/>
  <c r="E251" i="8"/>
  <c r="E247" i="8"/>
  <c r="E235" i="8"/>
  <c r="E227" i="8"/>
  <c r="E215" i="8"/>
  <c r="E183" i="8"/>
  <c r="E163" i="8"/>
  <c r="E151" i="8"/>
  <c r="E131" i="8"/>
  <c r="E119" i="8"/>
  <c r="E99" i="8"/>
  <c r="E87" i="8"/>
  <c r="E67" i="8"/>
  <c r="E55" i="8"/>
  <c r="E35" i="8"/>
  <c r="E23" i="8"/>
  <c r="D252" i="8"/>
  <c r="D241" i="8"/>
  <c r="E241" i="8" s="1"/>
  <c r="D231" i="8"/>
  <c r="E231" i="8" s="1"/>
  <c r="D220" i="8"/>
  <c r="E220" i="8" s="1"/>
  <c r="D209" i="8"/>
  <c r="E209" i="8" s="1"/>
  <c r="D199" i="8"/>
  <c r="E199" i="8" s="1"/>
  <c r="D188" i="8"/>
  <c r="E188" i="8" s="1"/>
  <c r="D177" i="8"/>
  <c r="E177" i="8" s="1"/>
  <c r="D161" i="8"/>
  <c r="E161" i="8" s="1"/>
  <c r="D145" i="8"/>
  <c r="E145" i="8" s="1"/>
  <c r="D129" i="8"/>
  <c r="E129" i="8" s="1"/>
  <c r="D113" i="8"/>
  <c r="E113" i="8" s="1"/>
  <c r="D97" i="8"/>
  <c r="E97" i="8" s="1"/>
  <c r="D78" i="8"/>
  <c r="D56" i="8"/>
  <c r="E56" i="8" s="1"/>
  <c r="D35" i="8"/>
  <c r="D14" i="8"/>
  <c r="E14" i="8" s="1"/>
  <c r="E250" i="8"/>
  <c r="E246" i="8"/>
  <c r="E238" i="8"/>
  <c r="E234" i="8"/>
  <c r="E230" i="8"/>
  <c r="E226" i="8"/>
  <c r="E218" i="8"/>
  <c r="E206" i="8"/>
  <c r="E202" i="8"/>
  <c r="E194" i="8"/>
  <c r="E186" i="8"/>
  <c r="E182" i="8"/>
  <c r="E174" i="8"/>
  <c r="E170" i="8"/>
  <c r="E166" i="8"/>
  <c r="E162" i="8"/>
  <c r="E154" i="8"/>
  <c r="E142" i="8"/>
  <c r="E138" i="8"/>
  <c r="E130" i="8"/>
  <c r="E122" i="8"/>
  <c r="E118" i="8"/>
  <c r="E110" i="8"/>
  <c r="E106" i="8"/>
  <c r="E102" i="8"/>
  <c r="E98" i="8"/>
  <c r="E90" i="8"/>
  <c r="E86" i="8"/>
  <c r="E78" i="8"/>
  <c r="E74" i="8"/>
  <c r="E58" i="8"/>
  <c r="E54" i="8"/>
  <c r="E46" i="8"/>
  <c r="E38" i="8"/>
  <c r="E26" i="8"/>
  <c r="E22" i="8"/>
  <c r="E10" i="8"/>
  <c r="E6" i="8"/>
  <c r="E223" i="8"/>
  <c r="E219" i="8"/>
  <c r="E207" i="8"/>
  <c r="E203" i="8"/>
  <c r="E191" i="8"/>
  <c r="E187" i="8"/>
  <c r="E171" i="8"/>
  <c r="E159" i="8"/>
  <c r="E139" i="8"/>
  <c r="E127" i="8"/>
  <c r="E107" i="8"/>
  <c r="E95" i="8"/>
  <c r="E79" i="8"/>
  <c r="E75" i="8"/>
  <c r="E63" i="8"/>
  <c r="E59" i="8"/>
  <c r="E47" i="8"/>
  <c r="E43" i="8"/>
  <c r="E31" i="8"/>
  <c r="E15" i="8"/>
  <c r="E11" i="8"/>
  <c r="E84" i="8"/>
  <c r="E80" i="8"/>
  <c r="E76" i="8"/>
  <c r="E72" i="8"/>
  <c r="E68" i="8"/>
  <c r="E64" i="8"/>
  <c r="E52" i="8"/>
  <c r="E44" i="8"/>
  <c r="E36" i="8"/>
  <c r="E24" i="8"/>
  <c r="E20" i="8"/>
  <c r="E16" i="8"/>
  <c r="E12" i="8"/>
  <c r="E8" i="8"/>
  <c r="E4" i="8"/>
  <c r="B16" i="4"/>
  <c r="C48" i="1"/>
  <c r="C47" i="1"/>
  <c r="C27" i="1"/>
  <c r="H5" i="8" l="1"/>
  <c r="M40" i="2"/>
  <c r="N40" i="2" s="1"/>
  <c r="O40" i="2" s="1"/>
  <c r="P40" i="2" s="1"/>
  <c r="Q40" i="2" s="1"/>
  <c r="R40" i="2" s="1"/>
  <c r="M36" i="2"/>
  <c r="N36" i="2" s="1"/>
  <c r="O36" i="2" s="1"/>
  <c r="P36" i="2" s="1"/>
  <c r="Q36" i="2" s="1"/>
  <c r="R36" i="2" s="1"/>
  <c r="M35" i="2"/>
  <c r="B3" i="9" l="1"/>
  <c r="B2" i="9"/>
  <c r="D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M12" i="2"/>
  <c r="N12" i="2" s="1"/>
  <c r="O12" i="2" s="1"/>
  <c r="P12" i="2" s="1"/>
  <c r="R12" i="2" s="1"/>
  <c r="C55" i="1"/>
  <c r="D55" i="1" s="1"/>
  <c r="C23" i="1"/>
  <c r="D23" i="1" s="1"/>
  <c r="E23" i="1" s="1"/>
  <c r="F23" i="1" s="1"/>
  <c r="G23" i="1" s="1"/>
  <c r="H23" i="1" s="1"/>
  <c r="C21" i="1"/>
  <c r="D21" i="1" s="1"/>
  <c r="E21" i="1" s="1"/>
  <c r="F21" i="1" s="1"/>
  <c r="G21" i="1" s="1"/>
  <c r="H21" i="1" s="1"/>
  <c r="B13" i="5"/>
  <c r="B3" i="5"/>
  <c r="C3" i="5" s="1"/>
  <c r="B2" i="5"/>
  <c r="C11" i="1"/>
  <c r="D11" i="1" s="1"/>
  <c r="E11" i="1" s="1"/>
  <c r="F11" i="1" s="1"/>
  <c r="G11" i="1" s="1"/>
  <c r="H11" i="1" s="1"/>
  <c r="C10" i="1"/>
  <c r="D10" i="1" s="1"/>
  <c r="E10" i="1" s="1"/>
  <c r="F10" i="1" s="1"/>
  <c r="G10" i="1" s="1"/>
  <c r="H10" i="1" s="1"/>
  <c r="C28" i="1"/>
  <c r="D28" i="1" s="1"/>
  <c r="E28" i="1" s="1"/>
  <c r="F28" i="1" s="1"/>
  <c r="G28" i="1" s="1"/>
  <c r="H28" i="1" s="1"/>
  <c r="D27" i="1"/>
  <c r="E27" i="1" s="1"/>
  <c r="F27" i="1" s="1"/>
  <c r="G27" i="1" s="1"/>
  <c r="H27" i="1" s="1"/>
  <c r="B12" i="4"/>
  <c r="B5" i="3"/>
  <c r="I6" i="8" s="1"/>
  <c r="J7" i="8" s="1"/>
  <c r="B6" i="3"/>
  <c r="D48" i="1"/>
  <c r="D47" i="1"/>
  <c r="C44" i="1"/>
  <c r="D44" i="1" s="1"/>
  <c r="E44" i="1" s="1"/>
  <c r="F44" i="1" s="1"/>
  <c r="G44" i="1" s="1"/>
  <c r="H44" i="1" s="1"/>
  <c r="C43" i="1"/>
  <c r="D43" i="1" s="1"/>
  <c r="C40" i="1"/>
  <c r="D40" i="1" s="1"/>
  <c r="E40" i="1" s="1"/>
  <c r="F40" i="1" s="1"/>
  <c r="G40" i="1" s="1"/>
  <c r="H40" i="1" s="1"/>
  <c r="C39" i="1"/>
  <c r="D39" i="1" s="1"/>
  <c r="E39" i="1" s="1"/>
  <c r="F39" i="1" s="1"/>
  <c r="G39" i="1" s="1"/>
  <c r="H39" i="1" s="1"/>
  <c r="C38" i="1"/>
  <c r="D38" i="1" s="1"/>
  <c r="E38" i="1" s="1"/>
  <c r="F38" i="1" s="1"/>
  <c r="G38" i="1" s="1"/>
  <c r="H38" i="1" s="1"/>
  <c r="C37" i="1"/>
  <c r="D37" i="1" s="1"/>
  <c r="E37" i="1" s="1"/>
  <c r="F37" i="1" s="1"/>
  <c r="G37" i="1" s="1"/>
  <c r="H37" i="1" s="1"/>
  <c r="C36" i="1"/>
  <c r="D36" i="1" s="1"/>
  <c r="E36" i="1" s="1"/>
  <c r="F36" i="1" s="1"/>
  <c r="G36" i="1" s="1"/>
  <c r="H36" i="1" s="1"/>
  <c r="C35" i="1"/>
  <c r="D35" i="1" s="1"/>
  <c r="E35" i="1" s="1"/>
  <c r="F35" i="1" s="1"/>
  <c r="G35" i="1" s="1"/>
  <c r="H35" i="1" s="1"/>
  <c r="C34" i="1"/>
  <c r="M8" i="2"/>
  <c r="L39" i="2"/>
  <c r="B4" i="3"/>
  <c r="D4" i="3"/>
  <c r="E4" i="3"/>
  <c r="F4" i="3"/>
  <c r="G4" i="3"/>
  <c r="H4" i="3"/>
  <c r="C4" i="3"/>
  <c r="C13" i="1"/>
  <c r="C3" i="3" s="1"/>
  <c r="B3" i="3"/>
  <c r="C8" i="1"/>
  <c r="D8" i="1" s="1"/>
  <c r="E8" i="1" s="1"/>
  <c r="F8" i="1" s="1"/>
  <c r="G8" i="1" s="1"/>
  <c r="H8" i="1" s="1"/>
  <c r="B15" i="4"/>
  <c r="B14" i="4"/>
  <c r="E4" i="7" l="1"/>
  <c r="E117" i="7"/>
  <c r="E253" i="7"/>
  <c r="D237" i="7"/>
  <c r="E237" i="7" s="1"/>
  <c r="D205" i="7"/>
  <c r="E205" i="7" s="1"/>
  <c r="D173" i="7"/>
  <c r="E173" i="7" s="1"/>
  <c r="D141" i="7"/>
  <c r="E141" i="7" s="1"/>
  <c r="D109" i="7"/>
  <c r="E109" i="7" s="1"/>
  <c r="D77" i="7"/>
  <c r="E77" i="7" s="1"/>
  <c r="D45" i="7"/>
  <c r="E45" i="7" s="1"/>
  <c r="D13" i="7"/>
  <c r="E13" i="7" s="1"/>
  <c r="D245" i="7"/>
  <c r="E245" i="7" s="1"/>
  <c r="D213" i="7"/>
  <c r="E213" i="7" s="1"/>
  <c r="D181" i="7"/>
  <c r="E181" i="7" s="1"/>
  <c r="D149" i="7"/>
  <c r="E149" i="7" s="1"/>
  <c r="D117" i="7"/>
  <c r="D85" i="7"/>
  <c r="E85" i="7" s="1"/>
  <c r="D53" i="7"/>
  <c r="E53" i="7" s="1"/>
  <c r="D21" i="7"/>
  <c r="E21" i="7" s="1"/>
  <c r="D253" i="7"/>
  <c r="D221" i="7"/>
  <c r="E221" i="7" s="1"/>
  <c r="D189" i="7"/>
  <c r="E189" i="7" s="1"/>
  <c r="D157" i="7"/>
  <c r="E157" i="7" s="1"/>
  <c r="D125" i="7"/>
  <c r="E125" i="7" s="1"/>
  <c r="D93" i="7"/>
  <c r="E93" i="7" s="1"/>
  <c r="D61" i="7"/>
  <c r="E61" i="7" s="1"/>
  <c r="D29" i="7"/>
  <c r="E29" i="7" s="1"/>
  <c r="D229" i="7"/>
  <c r="E229" i="7" s="1"/>
  <c r="D197" i="7"/>
  <c r="E197" i="7" s="1"/>
  <c r="D165" i="7"/>
  <c r="E165" i="7" s="1"/>
  <c r="D133" i="7"/>
  <c r="E133" i="7" s="1"/>
  <c r="D101" i="7"/>
  <c r="E101" i="7" s="1"/>
  <c r="D69" i="7"/>
  <c r="E69" i="7" s="1"/>
  <c r="D37" i="7"/>
  <c r="E37" i="7" s="1"/>
  <c r="D5" i="7"/>
  <c r="E5" i="7" s="1"/>
  <c r="C33" i="1"/>
  <c r="C49" i="1" s="1"/>
  <c r="D34" i="1"/>
  <c r="E34" i="1" s="1"/>
  <c r="F34" i="1" s="1"/>
  <c r="G34" i="1" s="1"/>
  <c r="H34" i="1" s="1"/>
  <c r="E47" i="1"/>
  <c r="E48" i="1"/>
  <c r="C24" i="1"/>
  <c r="D3" i="5"/>
  <c r="H2" i="9"/>
  <c r="C15" i="1"/>
  <c r="D13" i="1"/>
  <c r="N8" i="2"/>
  <c r="O8" i="2" s="1"/>
  <c r="P8" i="2" s="1"/>
  <c r="Q8" i="2" s="1"/>
  <c r="R8" i="2" s="1"/>
  <c r="D250" i="7"/>
  <c r="E250" i="7" s="1"/>
  <c r="D242" i="7"/>
  <c r="E242" i="7" s="1"/>
  <c r="D234" i="7"/>
  <c r="E234" i="7" s="1"/>
  <c r="D226" i="7"/>
  <c r="E226" i="7" s="1"/>
  <c r="D218" i="7"/>
  <c r="E218" i="7" s="1"/>
  <c r="D210" i="7"/>
  <c r="E210" i="7" s="1"/>
  <c r="D202" i="7"/>
  <c r="E202" i="7" s="1"/>
  <c r="D194" i="7"/>
  <c r="E194" i="7" s="1"/>
  <c r="D186" i="7"/>
  <c r="E186" i="7" s="1"/>
  <c r="D178" i="7"/>
  <c r="E178" i="7" s="1"/>
  <c r="D170" i="7"/>
  <c r="E170" i="7" s="1"/>
  <c r="D162" i="7"/>
  <c r="E162" i="7" s="1"/>
  <c r="D154" i="7"/>
  <c r="E154" i="7" s="1"/>
  <c r="D146" i="7"/>
  <c r="E146" i="7" s="1"/>
  <c r="D138" i="7"/>
  <c r="E138" i="7" s="1"/>
  <c r="D130" i="7"/>
  <c r="E130" i="7" s="1"/>
  <c r="D122" i="7"/>
  <c r="E122" i="7" s="1"/>
  <c r="D114" i="7"/>
  <c r="E114" i="7" s="1"/>
  <c r="D106" i="7"/>
  <c r="E106" i="7" s="1"/>
  <c r="D98" i="7"/>
  <c r="E98" i="7" s="1"/>
  <c r="D90" i="7"/>
  <c r="E90" i="7" s="1"/>
  <c r="D82" i="7"/>
  <c r="E82" i="7" s="1"/>
  <c r="D74" i="7"/>
  <c r="E74" i="7" s="1"/>
  <c r="D66" i="7"/>
  <c r="E66" i="7" s="1"/>
  <c r="D58" i="7"/>
  <c r="E58" i="7" s="1"/>
  <c r="D50" i="7"/>
  <c r="E50" i="7" s="1"/>
  <c r="D42" i="7"/>
  <c r="E42" i="7" s="1"/>
  <c r="D34" i="7"/>
  <c r="E34" i="7" s="1"/>
  <c r="D26" i="7"/>
  <c r="E26" i="7" s="1"/>
  <c r="D18" i="7"/>
  <c r="E18" i="7" s="1"/>
  <c r="D10" i="7"/>
  <c r="E10" i="7" s="1"/>
  <c r="D249" i="7"/>
  <c r="E249" i="7" s="1"/>
  <c r="D241" i="7"/>
  <c r="E241" i="7" s="1"/>
  <c r="D233" i="7"/>
  <c r="E233" i="7" s="1"/>
  <c r="D225" i="7"/>
  <c r="E225" i="7" s="1"/>
  <c r="D217" i="7"/>
  <c r="E217" i="7" s="1"/>
  <c r="D209" i="7"/>
  <c r="E209" i="7" s="1"/>
  <c r="D201" i="7"/>
  <c r="E201" i="7" s="1"/>
  <c r="D193" i="7"/>
  <c r="E193" i="7" s="1"/>
  <c r="D185" i="7"/>
  <c r="E185" i="7" s="1"/>
  <c r="D177" i="7"/>
  <c r="E177" i="7" s="1"/>
  <c r="D169" i="7"/>
  <c r="E169" i="7" s="1"/>
  <c r="D161" i="7"/>
  <c r="E161" i="7" s="1"/>
  <c r="D153" i="7"/>
  <c r="E153" i="7" s="1"/>
  <c r="D145" i="7"/>
  <c r="E145" i="7" s="1"/>
  <c r="D137" i="7"/>
  <c r="E137" i="7" s="1"/>
  <c r="D129" i="7"/>
  <c r="E129" i="7" s="1"/>
  <c r="D121" i="7"/>
  <c r="E121" i="7" s="1"/>
  <c r="D113" i="7"/>
  <c r="E113" i="7" s="1"/>
  <c r="D105" i="7"/>
  <c r="E105" i="7" s="1"/>
  <c r="D97" i="7"/>
  <c r="E97" i="7" s="1"/>
  <c r="D89" i="7"/>
  <c r="E89" i="7" s="1"/>
  <c r="D81" i="7"/>
  <c r="E81" i="7" s="1"/>
  <c r="D73" i="7"/>
  <c r="E73" i="7" s="1"/>
  <c r="D65" i="7"/>
  <c r="E65" i="7" s="1"/>
  <c r="D57" i="7"/>
  <c r="E57" i="7" s="1"/>
  <c r="D49" i="7"/>
  <c r="E49" i="7" s="1"/>
  <c r="D41" i="7"/>
  <c r="E41" i="7" s="1"/>
  <c r="D33" i="7"/>
  <c r="E33" i="7" s="1"/>
  <c r="D25" i="7"/>
  <c r="E25" i="7" s="1"/>
  <c r="D17" i="7"/>
  <c r="E17" i="7" s="1"/>
  <c r="D9" i="7"/>
  <c r="E9" i="7" s="1"/>
  <c r="D3" i="7"/>
  <c r="E3" i="7" s="1"/>
  <c r="D246" i="7"/>
  <c r="E246" i="7" s="1"/>
  <c r="D238" i="7"/>
  <c r="E238" i="7" s="1"/>
  <c r="D230" i="7"/>
  <c r="E230" i="7" s="1"/>
  <c r="D222" i="7"/>
  <c r="E222" i="7" s="1"/>
  <c r="D214" i="7"/>
  <c r="E214" i="7" s="1"/>
  <c r="D206" i="7"/>
  <c r="E206" i="7" s="1"/>
  <c r="D198" i="7"/>
  <c r="E198" i="7" s="1"/>
  <c r="D190" i="7"/>
  <c r="E190" i="7" s="1"/>
  <c r="D182" i="7"/>
  <c r="E182" i="7" s="1"/>
  <c r="D174" i="7"/>
  <c r="E174" i="7" s="1"/>
  <c r="D166" i="7"/>
  <c r="E166" i="7" s="1"/>
  <c r="D158" i="7"/>
  <c r="E158" i="7" s="1"/>
  <c r="D150" i="7"/>
  <c r="E150" i="7" s="1"/>
  <c r="D142" i="7"/>
  <c r="E142" i="7" s="1"/>
  <c r="D134" i="7"/>
  <c r="E134" i="7" s="1"/>
  <c r="D126" i="7"/>
  <c r="E126" i="7" s="1"/>
  <c r="D118" i="7"/>
  <c r="E118" i="7" s="1"/>
  <c r="D110" i="7"/>
  <c r="E110" i="7" s="1"/>
  <c r="D102" i="7"/>
  <c r="E102" i="7" s="1"/>
  <c r="D94" i="7"/>
  <c r="E94" i="7" s="1"/>
  <c r="D86" i="7"/>
  <c r="E86" i="7" s="1"/>
  <c r="D78" i="7"/>
  <c r="E78" i="7" s="1"/>
  <c r="D70" i="7"/>
  <c r="E70" i="7" s="1"/>
  <c r="D62" i="7"/>
  <c r="E62" i="7" s="1"/>
  <c r="D54" i="7"/>
  <c r="E54" i="7" s="1"/>
  <c r="D46" i="7"/>
  <c r="E46" i="7" s="1"/>
  <c r="D38" i="7"/>
  <c r="E38" i="7" s="1"/>
  <c r="D30" i="7"/>
  <c r="E30" i="7" s="1"/>
  <c r="D22" i="7"/>
  <c r="E22" i="7" s="1"/>
  <c r="D14" i="7"/>
  <c r="E14" i="7" s="1"/>
  <c r="D6" i="7"/>
  <c r="E6" i="7" s="1"/>
  <c r="F2" i="9"/>
  <c r="G2" i="9"/>
  <c r="C2" i="9"/>
  <c r="D2" i="9"/>
  <c r="C3" i="9"/>
  <c r="E2" i="9"/>
  <c r="D251" i="7"/>
  <c r="E251" i="7" s="1"/>
  <c r="D247" i="7"/>
  <c r="E247" i="7" s="1"/>
  <c r="D243" i="7"/>
  <c r="E243" i="7" s="1"/>
  <c r="D239" i="7"/>
  <c r="E239" i="7" s="1"/>
  <c r="D235" i="7"/>
  <c r="E235" i="7" s="1"/>
  <c r="D231" i="7"/>
  <c r="E231" i="7" s="1"/>
  <c r="D227" i="7"/>
  <c r="E227" i="7" s="1"/>
  <c r="D223" i="7"/>
  <c r="E223" i="7" s="1"/>
  <c r="D219" i="7"/>
  <c r="E219" i="7" s="1"/>
  <c r="D215" i="7"/>
  <c r="E215" i="7" s="1"/>
  <c r="D211" i="7"/>
  <c r="E211" i="7" s="1"/>
  <c r="D207" i="7"/>
  <c r="E207" i="7" s="1"/>
  <c r="D203" i="7"/>
  <c r="E203" i="7" s="1"/>
  <c r="D199" i="7"/>
  <c r="E199" i="7" s="1"/>
  <c r="D195" i="7"/>
  <c r="E195" i="7" s="1"/>
  <c r="D191" i="7"/>
  <c r="E191" i="7" s="1"/>
  <c r="D187" i="7"/>
  <c r="E187" i="7" s="1"/>
  <c r="D183" i="7"/>
  <c r="E183" i="7" s="1"/>
  <c r="D179" i="7"/>
  <c r="E179" i="7" s="1"/>
  <c r="D175" i="7"/>
  <c r="E175" i="7" s="1"/>
  <c r="D171" i="7"/>
  <c r="E171" i="7" s="1"/>
  <c r="D167" i="7"/>
  <c r="E167" i="7" s="1"/>
  <c r="D163" i="7"/>
  <c r="E163" i="7" s="1"/>
  <c r="D159" i="7"/>
  <c r="E159" i="7" s="1"/>
  <c r="D155" i="7"/>
  <c r="E155" i="7" s="1"/>
  <c r="D151" i="7"/>
  <c r="E151" i="7" s="1"/>
  <c r="D147" i="7"/>
  <c r="E147" i="7" s="1"/>
  <c r="D143" i="7"/>
  <c r="E143" i="7" s="1"/>
  <c r="D139" i="7"/>
  <c r="E139" i="7" s="1"/>
  <c r="D135" i="7"/>
  <c r="E135" i="7" s="1"/>
  <c r="D131" i="7"/>
  <c r="E131" i="7" s="1"/>
  <c r="D127" i="7"/>
  <c r="E127" i="7" s="1"/>
  <c r="D123" i="7"/>
  <c r="E123" i="7" s="1"/>
  <c r="D119" i="7"/>
  <c r="E119" i="7" s="1"/>
  <c r="D115" i="7"/>
  <c r="E115" i="7" s="1"/>
  <c r="D111" i="7"/>
  <c r="E111" i="7" s="1"/>
  <c r="D107" i="7"/>
  <c r="E107" i="7" s="1"/>
  <c r="D103" i="7"/>
  <c r="E103" i="7" s="1"/>
  <c r="D99" i="7"/>
  <c r="E99" i="7" s="1"/>
  <c r="D95" i="7"/>
  <c r="E95" i="7" s="1"/>
  <c r="D91" i="7"/>
  <c r="E91" i="7" s="1"/>
  <c r="D87" i="7"/>
  <c r="E87" i="7" s="1"/>
  <c r="D83" i="7"/>
  <c r="E83" i="7" s="1"/>
  <c r="D79" i="7"/>
  <c r="E79" i="7" s="1"/>
  <c r="D75" i="7"/>
  <c r="E75" i="7" s="1"/>
  <c r="D71" i="7"/>
  <c r="E71" i="7" s="1"/>
  <c r="D67" i="7"/>
  <c r="E67" i="7" s="1"/>
  <c r="D63" i="7"/>
  <c r="E63" i="7" s="1"/>
  <c r="D59" i="7"/>
  <c r="E59" i="7" s="1"/>
  <c r="D55" i="7"/>
  <c r="E55" i="7" s="1"/>
  <c r="D51" i="7"/>
  <c r="E51" i="7" s="1"/>
  <c r="D47" i="7"/>
  <c r="E47" i="7" s="1"/>
  <c r="D43" i="7"/>
  <c r="E43" i="7" s="1"/>
  <c r="D39" i="7"/>
  <c r="E39" i="7" s="1"/>
  <c r="D35" i="7"/>
  <c r="E35" i="7" s="1"/>
  <c r="D31" i="7"/>
  <c r="E31" i="7" s="1"/>
  <c r="D27" i="7"/>
  <c r="E27" i="7" s="1"/>
  <c r="D23" i="7"/>
  <c r="E23" i="7" s="1"/>
  <c r="D19" i="7"/>
  <c r="E19" i="7" s="1"/>
  <c r="D15" i="7"/>
  <c r="E15" i="7" s="1"/>
  <c r="D11" i="7"/>
  <c r="E11" i="7" s="1"/>
  <c r="D7" i="7"/>
  <c r="E7" i="7" s="1"/>
  <c r="D252" i="7"/>
  <c r="E252" i="7" s="1"/>
  <c r="D248" i="7"/>
  <c r="E248" i="7" s="1"/>
  <c r="D244" i="7"/>
  <c r="E244" i="7" s="1"/>
  <c r="D240" i="7"/>
  <c r="E240" i="7" s="1"/>
  <c r="D236" i="7"/>
  <c r="E236" i="7" s="1"/>
  <c r="D232" i="7"/>
  <c r="E232" i="7" s="1"/>
  <c r="D228" i="7"/>
  <c r="E228" i="7" s="1"/>
  <c r="D224" i="7"/>
  <c r="E224" i="7" s="1"/>
  <c r="D220" i="7"/>
  <c r="E220" i="7" s="1"/>
  <c r="D216" i="7"/>
  <c r="E216" i="7" s="1"/>
  <c r="D212" i="7"/>
  <c r="E212" i="7" s="1"/>
  <c r="D208" i="7"/>
  <c r="E208" i="7" s="1"/>
  <c r="D204" i="7"/>
  <c r="E204" i="7" s="1"/>
  <c r="D200" i="7"/>
  <c r="E200" i="7" s="1"/>
  <c r="D196" i="7"/>
  <c r="E196" i="7" s="1"/>
  <c r="D192" i="7"/>
  <c r="E192" i="7" s="1"/>
  <c r="D188" i="7"/>
  <c r="E188" i="7" s="1"/>
  <c r="D184" i="7"/>
  <c r="E184" i="7" s="1"/>
  <c r="D180" i="7"/>
  <c r="E180" i="7" s="1"/>
  <c r="D176" i="7"/>
  <c r="E176" i="7" s="1"/>
  <c r="D172" i="7"/>
  <c r="E172" i="7" s="1"/>
  <c r="D168" i="7"/>
  <c r="E168" i="7" s="1"/>
  <c r="D164" i="7"/>
  <c r="E164" i="7" s="1"/>
  <c r="D160" i="7"/>
  <c r="E160" i="7" s="1"/>
  <c r="D156" i="7"/>
  <c r="E156" i="7" s="1"/>
  <c r="D152" i="7"/>
  <c r="E152" i="7" s="1"/>
  <c r="D148" i="7"/>
  <c r="E148" i="7" s="1"/>
  <c r="D144" i="7"/>
  <c r="E144" i="7" s="1"/>
  <c r="D140" i="7"/>
  <c r="E140" i="7" s="1"/>
  <c r="D136" i="7"/>
  <c r="E136" i="7" s="1"/>
  <c r="D132" i="7"/>
  <c r="E132" i="7" s="1"/>
  <c r="D128" i="7"/>
  <c r="E128" i="7" s="1"/>
  <c r="D124" i="7"/>
  <c r="E124" i="7" s="1"/>
  <c r="D120" i="7"/>
  <c r="E120" i="7" s="1"/>
  <c r="D116" i="7"/>
  <c r="E116" i="7" s="1"/>
  <c r="D112" i="7"/>
  <c r="E112" i="7" s="1"/>
  <c r="D108" i="7"/>
  <c r="E108" i="7" s="1"/>
  <c r="D104" i="7"/>
  <c r="E104" i="7" s="1"/>
  <c r="D100" i="7"/>
  <c r="E100" i="7" s="1"/>
  <c r="D96" i="7"/>
  <c r="E96" i="7" s="1"/>
  <c r="D92" i="7"/>
  <c r="E92" i="7" s="1"/>
  <c r="D88" i="7"/>
  <c r="E88" i="7" s="1"/>
  <c r="D84" i="7"/>
  <c r="E84" i="7" s="1"/>
  <c r="D80" i="7"/>
  <c r="E80" i="7" s="1"/>
  <c r="D76" i="7"/>
  <c r="E76" i="7" s="1"/>
  <c r="D72" i="7"/>
  <c r="E72" i="7" s="1"/>
  <c r="D68" i="7"/>
  <c r="E68" i="7" s="1"/>
  <c r="D64" i="7"/>
  <c r="E64" i="7" s="1"/>
  <c r="D60" i="7"/>
  <c r="E60" i="7" s="1"/>
  <c r="D56" i="7"/>
  <c r="E56" i="7" s="1"/>
  <c r="D52" i="7"/>
  <c r="E52" i="7" s="1"/>
  <c r="D48" i="7"/>
  <c r="E48" i="7" s="1"/>
  <c r="D44" i="7"/>
  <c r="E44" i="7" s="1"/>
  <c r="D40" i="7"/>
  <c r="E40" i="7" s="1"/>
  <c r="D36" i="7"/>
  <c r="E36" i="7" s="1"/>
  <c r="D32" i="7"/>
  <c r="E32" i="7" s="1"/>
  <c r="D28" i="7"/>
  <c r="E28" i="7" s="1"/>
  <c r="D24" i="7"/>
  <c r="E24" i="7" s="1"/>
  <c r="D20" i="7"/>
  <c r="E20" i="7" s="1"/>
  <c r="D16" i="7"/>
  <c r="E16" i="7" s="1"/>
  <c r="D12" i="7"/>
  <c r="E12" i="7" s="1"/>
  <c r="D8" i="7"/>
  <c r="E8" i="7" s="1"/>
  <c r="B4" i="9"/>
  <c r="E55" i="1"/>
  <c r="C10" i="3"/>
  <c r="E13" i="1"/>
  <c r="F13" i="1" s="1"/>
  <c r="F15" i="1" s="1"/>
  <c r="D10" i="3"/>
  <c r="B10" i="3"/>
  <c r="B11" i="3" s="1"/>
  <c r="B7" i="3"/>
  <c r="E43" i="1"/>
  <c r="F43" i="1" s="1"/>
  <c r="D9" i="3"/>
  <c r="C9" i="3"/>
  <c r="C2" i="3"/>
  <c r="I5" i="8" l="1"/>
  <c r="I8" i="8" s="1"/>
  <c r="D3" i="9"/>
  <c r="D4" i="9" s="1"/>
  <c r="E3" i="9"/>
  <c r="E4" i="9" s="1"/>
  <c r="F48" i="1"/>
  <c r="C11" i="3"/>
  <c r="D33" i="1"/>
  <c r="D49" i="1" s="1"/>
  <c r="D6" i="3" s="1"/>
  <c r="F47" i="1"/>
  <c r="E33" i="1"/>
  <c r="E49" i="1" s="1"/>
  <c r="E6" i="3" s="1"/>
  <c r="D3" i="3"/>
  <c r="D2" i="3" s="1"/>
  <c r="D15" i="1"/>
  <c r="E3" i="5"/>
  <c r="D24" i="1"/>
  <c r="E3" i="3"/>
  <c r="E2" i="3" s="1"/>
  <c r="E15" i="1"/>
  <c r="C4" i="9"/>
  <c r="F55" i="1"/>
  <c r="D11" i="3"/>
  <c r="E10" i="3"/>
  <c r="C6" i="3"/>
  <c r="G43" i="1"/>
  <c r="H43" i="1" s="1"/>
  <c r="E9" i="3"/>
  <c r="G13" i="1"/>
  <c r="G15" i="1" s="1"/>
  <c r="F3" i="3"/>
  <c r="D6" i="9" l="1"/>
  <c r="C6" i="9"/>
  <c r="G48" i="1"/>
  <c r="F3" i="9"/>
  <c r="F4" i="9" s="1"/>
  <c r="E6" i="9" s="1"/>
  <c r="G47" i="1"/>
  <c r="F33" i="1"/>
  <c r="F49" i="1" s="1"/>
  <c r="F6" i="3" s="1"/>
  <c r="F3" i="5"/>
  <c r="E24" i="1"/>
  <c r="G55" i="1"/>
  <c r="E11" i="3"/>
  <c r="F10" i="3"/>
  <c r="F2" i="3"/>
  <c r="G9" i="3"/>
  <c r="F9" i="3"/>
  <c r="H13" i="1"/>
  <c r="G3" i="3"/>
  <c r="H48" i="1" l="1"/>
  <c r="G3" i="9"/>
  <c r="G4" i="9" s="1"/>
  <c r="F6" i="9" s="1"/>
  <c r="H47" i="1"/>
  <c r="H33" i="1" s="1"/>
  <c r="G33" i="1"/>
  <c r="G49" i="1" s="1"/>
  <c r="G6" i="3" s="1"/>
  <c r="F11" i="3"/>
  <c r="H3" i="3"/>
  <c r="H2" i="3" s="1"/>
  <c r="H15" i="1"/>
  <c r="G3" i="5"/>
  <c r="F24" i="1"/>
  <c r="H55" i="1"/>
  <c r="H10" i="3"/>
  <c r="G10" i="3"/>
  <c r="G11" i="3" s="1"/>
  <c r="G2" i="3"/>
  <c r="H9" i="3"/>
  <c r="H49" i="1" l="1"/>
  <c r="H6" i="3" s="1"/>
  <c r="H3" i="5"/>
  <c r="H24" i="1" s="1"/>
  <c r="G24" i="1"/>
  <c r="H3" i="9"/>
  <c r="H4" i="9" s="1"/>
  <c r="G6" i="9" s="1"/>
  <c r="H11" i="3"/>
  <c r="M22" i="2" l="1"/>
  <c r="D39" i="2"/>
  <c r="E39" i="2"/>
  <c r="F39" i="2"/>
  <c r="G39" i="2"/>
  <c r="H39" i="2"/>
  <c r="I39" i="2"/>
  <c r="J39" i="2"/>
  <c r="K39" i="2"/>
  <c r="C39" i="2"/>
  <c r="B2" i="3" l="1"/>
  <c r="M15" i="2"/>
  <c r="M9" i="2"/>
  <c r="M10" i="2" s="1"/>
  <c r="M13" i="2" s="1"/>
  <c r="B4" i="5"/>
  <c r="C2" i="5" l="1"/>
  <c r="B12" i="5"/>
  <c r="B14" i="5" s="1"/>
  <c r="B6" i="5"/>
  <c r="B8" i="5" s="1"/>
  <c r="B9" i="5"/>
  <c r="B5" i="9" s="1"/>
  <c r="B12" i="3"/>
  <c r="N22" i="2"/>
  <c r="N15" i="2"/>
  <c r="N9" i="2"/>
  <c r="N10" i="2" s="1"/>
  <c r="N13" i="2" s="1"/>
  <c r="M23" i="2"/>
  <c r="B2" i="6" l="1"/>
  <c r="N23" i="2"/>
  <c r="O9" i="2"/>
  <c r="O10" i="2" s="1"/>
  <c r="O13" i="2" s="1"/>
  <c r="O15" i="2"/>
  <c r="O22" i="2"/>
  <c r="C4" i="5"/>
  <c r="C2" i="6" l="1"/>
  <c r="C15" i="5"/>
  <c r="C12" i="5"/>
  <c r="C9" i="5"/>
  <c r="C7" i="5" s="1"/>
  <c r="C20" i="1" s="1"/>
  <c r="C6" i="5"/>
  <c r="C19" i="1" s="1"/>
  <c r="D2" i="5"/>
  <c r="O23" i="2"/>
  <c r="P15" i="2"/>
  <c r="P22" i="2"/>
  <c r="P9" i="2"/>
  <c r="P10" i="2" s="1"/>
  <c r="P13" i="2" s="1"/>
  <c r="C22" i="1" l="1"/>
  <c r="C51" i="1" s="1"/>
  <c r="D2" i="6"/>
  <c r="C13" i="5"/>
  <c r="B3" i="6"/>
  <c r="D4" i="5"/>
  <c r="P23" i="2"/>
  <c r="M26" i="2"/>
  <c r="C8" i="5"/>
  <c r="Q15" i="2"/>
  <c r="Q22" i="2"/>
  <c r="Q9" i="2"/>
  <c r="Q10" i="2" s="1"/>
  <c r="E2" i="6" l="1"/>
  <c r="C5" i="9"/>
  <c r="C7" i="9" s="1"/>
  <c r="E2" i="5"/>
  <c r="D12" i="5"/>
  <c r="D6" i="5"/>
  <c r="D19" i="1" s="1"/>
  <c r="D9" i="5"/>
  <c r="C14" i="5"/>
  <c r="D15" i="5" s="1"/>
  <c r="Q23" i="2"/>
  <c r="R22" i="2"/>
  <c r="R9" i="2"/>
  <c r="R10" i="2" s="1"/>
  <c r="R13" i="2" s="1"/>
  <c r="R15" i="2"/>
  <c r="F2" i="6" l="1"/>
  <c r="D13" i="5"/>
  <c r="D14" i="5" s="1"/>
  <c r="C3" i="6"/>
  <c r="E4" i="5"/>
  <c r="N26" i="2"/>
  <c r="D7" i="5"/>
  <c r="D20" i="1" s="1"/>
  <c r="D22" i="1" s="1"/>
  <c r="D51" i="1" s="1"/>
  <c r="R23" i="2"/>
  <c r="D5" i="9" l="1"/>
  <c r="D7" i="9" s="1"/>
  <c r="G2" i="6"/>
  <c r="F2" i="5"/>
  <c r="E12" i="5"/>
  <c r="E6" i="5"/>
  <c r="E19" i="1" s="1"/>
  <c r="E15" i="5"/>
  <c r="D8" i="5"/>
  <c r="E9" i="5"/>
  <c r="O26" i="2" s="1"/>
  <c r="E7" i="5" l="1"/>
  <c r="E20" i="1" s="1"/>
  <c r="E22" i="1" s="1"/>
  <c r="E51" i="1" s="1"/>
  <c r="E5" i="9"/>
  <c r="E7" i="9" s="1"/>
  <c r="E13" i="5"/>
  <c r="E14" i="5" s="1"/>
  <c r="D3" i="6"/>
  <c r="F4" i="5"/>
  <c r="E8" i="5" l="1"/>
  <c r="F15" i="5"/>
  <c r="G2" i="5"/>
  <c r="F12" i="5"/>
  <c r="F6" i="5"/>
  <c r="F19" i="1" s="1"/>
  <c r="F9" i="5"/>
  <c r="F13" i="5" l="1"/>
  <c r="F14" i="5" s="1"/>
  <c r="E3" i="6"/>
  <c r="P26" i="2"/>
  <c r="F7" i="5"/>
  <c r="G4" i="5"/>
  <c r="F20" i="1" l="1"/>
  <c r="F22" i="1" s="1"/>
  <c r="F51" i="1" s="1"/>
  <c r="F5" i="9"/>
  <c r="F7" i="9" s="1"/>
  <c r="G9" i="5"/>
  <c r="Q26" i="2" s="1"/>
  <c r="H2" i="5"/>
  <c r="F8" i="5"/>
  <c r="G15" i="5"/>
  <c r="G12" i="5"/>
  <c r="G6" i="5"/>
  <c r="G19" i="1" s="1"/>
  <c r="G13" i="5" l="1"/>
  <c r="G14" i="5" s="1"/>
  <c r="F3" i="6"/>
  <c r="G5" i="9"/>
  <c r="G7" i="9" s="1"/>
  <c r="H4" i="5"/>
  <c r="G7" i="5"/>
  <c r="G20" i="1" s="1"/>
  <c r="G22" i="1" s="1"/>
  <c r="G51" i="1" s="1"/>
  <c r="H15" i="5" l="1"/>
  <c r="H13" i="5" s="1"/>
  <c r="G8" i="5"/>
  <c r="B10" i="9"/>
  <c r="B11" i="9" s="1"/>
  <c r="B12" i="9" s="1"/>
  <c r="H9" i="5"/>
  <c r="R26" i="2" s="1"/>
  <c r="H12" i="5"/>
  <c r="H6" i="5"/>
  <c r="H19" i="1" s="1"/>
  <c r="H14" i="5" l="1"/>
  <c r="G3" i="6"/>
  <c r="H5" i="9"/>
  <c r="H7" i="5"/>
  <c r="H8" i="5" l="1"/>
  <c r="H20" i="1"/>
  <c r="H22" i="1" s="1"/>
  <c r="H51" i="1" s="1"/>
  <c r="B13" i="9" l="1"/>
  <c r="B14" i="9" s="1"/>
  <c r="B16" i="9" l="1"/>
  <c r="G13" i="8" s="1"/>
  <c r="C9" i="1"/>
  <c r="D9" i="1"/>
  <c r="E9" i="1"/>
  <c r="F9" i="1"/>
  <c r="G9" i="1"/>
  <c r="H9" i="1"/>
  <c r="C12" i="1"/>
  <c r="D12" i="1"/>
  <c r="E12" i="1"/>
  <c r="F12" i="1"/>
  <c r="G12" i="1"/>
  <c r="H12" i="1"/>
  <c r="C17" i="1"/>
  <c r="D17" i="1"/>
  <c r="E17" i="1"/>
  <c r="F17" i="1"/>
  <c r="G17" i="1"/>
  <c r="H17" i="1"/>
  <c r="C29" i="1"/>
  <c r="D29" i="1"/>
  <c r="E29" i="1"/>
  <c r="F29" i="1"/>
  <c r="G29" i="1"/>
  <c r="H29" i="1"/>
  <c r="C31" i="1"/>
  <c r="D31" i="1"/>
  <c r="E31" i="1"/>
  <c r="F31" i="1"/>
  <c r="G31" i="1"/>
  <c r="H31" i="1"/>
  <c r="C41" i="1"/>
  <c r="D41" i="1"/>
  <c r="E41" i="1"/>
  <c r="F41" i="1"/>
  <c r="G41" i="1"/>
  <c r="H41" i="1"/>
  <c r="C50" i="1"/>
  <c r="D50" i="1"/>
  <c r="E50" i="1"/>
  <c r="F50" i="1"/>
  <c r="G50" i="1"/>
  <c r="H50" i="1"/>
  <c r="C57" i="1"/>
  <c r="D57" i="1"/>
  <c r="E57" i="1"/>
  <c r="F57" i="1"/>
  <c r="G57" i="1"/>
  <c r="H57" i="1"/>
  <c r="C59" i="1"/>
  <c r="D59" i="1"/>
  <c r="E59" i="1"/>
  <c r="F59" i="1"/>
  <c r="G59" i="1"/>
  <c r="H59" i="1"/>
  <c r="C5" i="3"/>
  <c r="D5" i="3"/>
  <c r="E5" i="3"/>
  <c r="F5" i="3"/>
  <c r="G5" i="3"/>
  <c r="H5" i="3"/>
  <c r="C7" i="3"/>
  <c r="D7" i="3"/>
  <c r="E7" i="3"/>
  <c r="F7" i="3"/>
  <c r="G7" i="3"/>
  <c r="H7" i="3"/>
  <c r="C12" i="3"/>
  <c r="D12" i="3"/>
  <c r="E12" i="3"/>
  <c r="F12" i="3"/>
  <c r="G12" i="3"/>
  <c r="H12" i="3"/>
  <c r="C13" i="3"/>
  <c r="D13" i="3"/>
  <c r="E13" i="3"/>
  <c r="F13" i="3"/>
  <c r="G13" i="3"/>
  <c r="H13" i="3"/>
  <c r="M24" i="2"/>
  <c r="N24" i="2"/>
  <c r="O24" i="2"/>
  <c r="P24" i="2"/>
  <c r="Q24" i="2"/>
  <c r="R24" i="2"/>
  <c r="M25" i="2"/>
  <c r="N25" i="2"/>
  <c r="O25" i="2"/>
  <c r="P25" i="2"/>
  <c r="Q25" i="2"/>
  <c r="R25" i="2"/>
  <c r="M27" i="2"/>
  <c r="N27" i="2"/>
  <c r="O27" i="2"/>
  <c r="P27" i="2"/>
  <c r="Q27" i="2"/>
  <c r="R27" i="2"/>
  <c r="M28" i="2"/>
  <c r="N28" i="2"/>
  <c r="O28" i="2"/>
  <c r="P28" i="2"/>
  <c r="Q28" i="2"/>
  <c r="R28" i="2"/>
  <c r="M31" i="2"/>
  <c r="N31" i="2"/>
  <c r="O31" i="2"/>
  <c r="P31" i="2"/>
  <c r="Q31" i="2"/>
  <c r="R31" i="2"/>
  <c r="M33" i="2"/>
  <c r="N33" i="2"/>
  <c r="O33" i="2"/>
  <c r="P33" i="2"/>
  <c r="Q33" i="2"/>
  <c r="R33" i="2"/>
  <c r="N35" i="2"/>
  <c r="O35" i="2"/>
  <c r="P35" i="2"/>
  <c r="Q35" i="2"/>
  <c r="R35" i="2"/>
  <c r="M37" i="2"/>
  <c r="N37" i="2"/>
  <c r="O37" i="2"/>
  <c r="P37" i="2"/>
  <c r="Q37" i="2"/>
  <c r="R37" i="2"/>
  <c r="M38" i="2"/>
  <c r="N38" i="2"/>
  <c r="O38" i="2"/>
  <c r="P38" i="2"/>
  <c r="Q38" i="2"/>
  <c r="R38" i="2"/>
  <c r="M45" i="2"/>
  <c r="N45" i="2"/>
  <c r="O45" i="2"/>
  <c r="P45" i="2"/>
  <c r="Q45" i="2"/>
  <c r="R45" i="2"/>
  <c r="B4" i="6"/>
  <c r="C4" i="6"/>
  <c r="D4" i="6"/>
  <c r="E4" i="6"/>
  <c r="F4" i="6"/>
  <c r="G4" i="6"/>
  <c r="B5" i="6"/>
  <c r="C5" i="6"/>
  <c r="D5" i="6"/>
  <c r="E5" i="6"/>
  <c r="F5" i="6"/>
  <c r="G5" i="6"/>
  <c r="B6" i="6"/>
  <c r="C6" i="6"/>
  <c r="D6" i="6"/>
  <c r="E6" i="6"/>
  <c r="F6" i="6"/>
  <c r="G6" i="6"/>
</calcChain>
</file>

<file path=xl/comments1.xml><?xml version="1.0" encoding="utf-8"?>
<comments xmlns="http://schemas.openxmlformats.org/spreadsheetml/2006/main">
  <authors>
    <author>Author</author>
  </authors>
  <commentList>
    <comment ref="B10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this is assumption, but look into historical data for correct measure</t>
        </r>
      </text>
    </comment>
    <comment ref="B11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this is assumption, but look into historical data for correct measure</t>
        </r>
      </text>
    </comment>
    <comment ref="B13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this is assumption, but look into historical data for correct measure</t>
        </r>
      </text>
    </comment>
    <comment ref="B14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Look at annual report
</t>
        </r>
      </text>
    </comment>
  </commentList>
</comments>
</file>

<file path=xl/sharedStrings.xml><?xml version="1.0" encoding="utf-8"?>
<sst xmlns="http://schemas.openxmlformats.org/spreadsheetml/2006/main" count="210" uniqueCount="200">
  <si>
    <t>Company &gt;&gt; Finance &gt;&gt; Balance Sheet</t>
  </si>
  <si>
    <t>Wipro Ltd</t>
  </si>
  <si>
    <t>Industry :Computers - Software - Large</t>
  </si>
  <si>
    <t>(Rs in Crs)</t>
  </si>
  <si>
    <t>   Year</t>
  </si>
  <si>
    <t>Mar 12 </t>
  </si>
  <si>
    <r>
      <t> </t>
    </r>
    <r>
      <rPr>
        <b/>
        <sz val="11"/>
        <color theme="1"/>
        <rFont val="Calibri"/>
        <family val="2"/>
        <scheme val="minor"/>
      </rPr>
      <t> SOURCES OF FUNDS :</t>
    </r>
  </si>
  <si>
    <t xml:space="preserve"> Share Capital </t>
  </si>
  <si>
    <t xml:space="preserve">  Reserves Total </t>
  </si>
  <si>
    <t>  Equity Share Warrants</t>
  </si>
  <si>
    <t>   Equity Application Money</t>
  </si>
  <si>
    <r>
      <t> </t>
    </r>
    <r>
      <rPr>
        <b/>
        <sz val="11"/>
        <color theme="1"/>
        <rFont val="Calibri"/>
        <family val="2"/>
        <scheme val="minor"/>
      </rPr>
      <t> Total Shareholders Funds</t>
    </r>
  </si>
  <si>
    <t xml:space="preserve">  Secured Loans </t>
  </si>
  <si>
    <t xml:space="preserve"> Unsecured Loans </t>
  </si>
  <si>
    <r>
      <t xml:space="preserve">  </t>
    </r>
    <r>
      <rPr>
        <b/>
        <sz val="11"/>
        <color theme="1"/>
        <rFont val="Calibri"/>
        <family val="2"/>
        <scheme val="minor"/>
      </rPr>
      <t> Total Debt</t>
    </r>
  </si>
  <si>
    <t>  Other Liabilities</t>
  </si>
  <si>
    <r>
      <t> </t>
    </r>
    <r>
      <rPr>
        <b/>
        <sz val="11"/>
        <color theme="1"/>
        <rFont val="Calibri"/>
        <family val="2"/>
        <scheme val="minor"/>
      </rPr>
      <t> APPLICATION OF FUNDS :</t>
    </r>
  </si>
  <si>
    <t xml:space="preserve"> Gross Block </t>
  </si>
  <si>
    <t xml:space="preserve">  Less:Accumulated Depreciation </t>
  </si>
  <si>
    <t>  Less:Impairment of Assets</t>
  </si>
  <si>
    <t xml:space="preserve">  Net Block </t>
  </si>
  <si>
    <t>  Lease Adjustment</t>
  </si>
  <si>
    <t>  Capital Work in Progress</t>
  </si>
  <si>
    <t xml:space="preserve"> Investments </t>
  </si>
  <si>
    <t>   Current Assets, Loans &amp; Advances</t>
  </si>
  <si>
    <t xml:space="preserve">  Inventories </t>
  </si>
  <si>
    <t xml:space="preserve"> Sundry Debtors </t>
  </si>
  <si>
    <t>  Cash and Bank</t>
  </si>
  <si>
    <t xml:space="preserve"> Loans and Advances </t>
  </si>
  <si>
    <t>   Total Current Assets</t>
  </si>
  <si>
    <t>  Less : Current Liabilities and Provisions</t>
  </si>
  <si>
    <t xml:space="preserve"> Current Liabilities </t>
  </si>
  <si>
    <t xml:space="preserve">  Provisions </t>
  </si>
  <si>
    <t>  Total Current Liabilities</t>
  </si>
  <si>
    <t xml:space="preserve"> Miscellaneous Expenses not written off </t>
  </si>
  <si>
    <t>   Deferred Tax Assets</t>
  </si>
  <si>
    <t>  Deferred Tax Liabilities</t>
  </si>
  <si>
    <t>   Net Deferred Tax</t>
  </si>
  <si>
    <t>  Other Assets</t>
  </si>
  <si>
    <t> Contingent Liabilities</t>
  </si>
  <si>
    <t>Company &gt;&gt; Finance &gt;&gt; Profit &amp; Loss</t>
  </si>
  <si>
    <t>Mar 12(12) </t>
  </si>
  <si>
    <t>Mar 11(12) </t>
  </si>
  <si>
    <t>Mar 10(12) </t>
  </si>
  <si>
    <t>Mar 09(12) </t>
  </si>
  <si>
    <t>Mar 08(12) </t>
  </si>
  <si>
    <t>Mar 07(12) </t>
  </si>
  <si>
    <t>Mar 06(12) </t>
  </si>
  <si>
    <t>Mar 05(12) </t>
  </si>
  <si>
    <t>Mar 04(12) </t>
  </si>
  <si>
    <r>
      <t> </t>
    </r>
    <r>
      <rPr>
        <b/>
        <sz val="11"/>
        <color theme="1"/>
        <rFont val="Calibri"/>
        <family val="2"/>
        <scheme val="minor"/>
      </rPr>
      <t> INCOME :</t>
    </r>
  </si>
  <si>
    <t xml:space="preserve"> Operating Income </t>
  </si>
  <si>
    <t>   Excise Duty</t>
  </si>
  <si>
    <t>  Net Operating Income</t>
  </si>
  <si>
    <t xml:space="preserve">  Other Income </t>
  </si>
  <si>
    <t xml:space="preserve"> Stock Adjustments </t>
  </si>
  <si>
    <r>
      <t xml:space="preserve">  </t>
    </r>
    <r>
      <rPr>
        <b/>
        <sz val="11"/>
        <color theme="1"/>
        <rFont val="Calibri"/>
        <family val="2"/>
        <scheme val="minor"/>
      </rPr>
      <t> Total Income</t>
    </r>
  </si>
  <si>
    <r>
      <t> </t>
    </r>
    <r>
      <rPr>
        <b/>
        <sz val="11"/>
        <color theme="1"/>
        <rFont val="Calibri"/>
        <family val="2"/>
        <scheme val="minor"/>
      </rPr>
      <t> EXPENDITURE :</t>
    </r>
  </si>
  <si>
    <t>  Cost of Traded Software Packages</t>
  </si>
  <si>
    <t xml:space="preserve">  Operating Expenses </t>
  </si>
  <si>
    <t xml:space="preserve"> Employee Cost </t>
  </si>
  <si>
    <t xml:space="preserve">  Power/Electricity Charges </t>
  </si>
  <si>
    <t xml:space="preserve"> Selling and Administration Exp. </t>
  </si>
  <si>
    <t xml:space="preserve">  Miscellaneous Expenses </t>
  </si>
  <si>
    <t xml:space="preserve"> Less : Pre-operative Expenses Capitalised </t>
  </si>
  <si>
    <t>   Total Expenditure</t>
  </si>
  <si>
    <t>  Operating Profit</t>
  </si>
  <si>
    <t xml:space="preserve">  Interest </t>
  </si>
  <si>
    <t>  Gross Profit</t>
  </si>
  <si>
    <t>  Depreciation</t>
  </si>
  <si>
    <t>  Profit Before Tax</t>
  </si>
  <si>
    <t>  Tax</t>
  </si>
  <si>
    <t> Fringe Benefit tax</t>
  </si>
  <si>
    <t>  Deferred Tax</t>
  </si>
  <si>
    <t>  Reported Net Profit</t>
  </si>
  <si>
    <t xml:space="preserve">  Extraordinary Items </t>
  </si>
  <si>
    <t>  Adjusted Net Profit</t>
  </si>
  <si>
    <t xml:space="preserve">  Adjustment below Net Profit </t>
  </si>
  <si>
    <t>  P &amp; L Balance brought forward</t>
  </si>
  <si>
    <t xml:space="preserve">  Appropriations </t>
  </si>
  <si>
    <t>  P &amp; L Balance carried down</t>
  </si>
  <si>
    <t>   Dividend</t>
  </si>
  <si>
    <t>  Preference Dividend</t>
  </si>
  <si>
    <t>   Equity Dividend %</t>
  </si>
  <si>
    <t>  Earnings Per Share-Unit Curr</t>
  </si>
  <si>
    <t>   Earnings Per Share(Adj)-Unit Curr</t>
  </si>
  <si>
    <t>  Book Value-Unit Curr</t>
  </si>
  <si>
    <t>Revenue</t>
  </si>
  <si>
    <t>2013E</t>
  </si>
  <si>
    <t>Excise Duty</t>
  </si>
  <si>
    <t>EBIDTA</t>
  </si>
  <si>
    <t>EBIDTA ( Net Sales - COGS)</t>
  </si>
  <si>
    <t>Sales Turnover</t>
  </si>
  <si>
    <t>Net Sales</t>
  </si>
  <si>
    <t>PAT</t>
  </si>
  <si>
    <t>Payout ratio</t>
  </si>
  <si>
    <t>Retained Earnings</t>
  </si>
  <si>
    <t>Long Term Debt</t>
  </si>
  <si>
    <t>Secured Loans</t>
  </si>
  <si>
    <t>Unsecured Loans</t>
  </si>
  <si>
    <t>Interest rate on STD</t>
  </si>
  <si>
    <t>Interest Paid</t>
  </si>
  <si>
    <t>Loans &amp; Advances</t>
  </si>
  <si>
    <t>Investments (BS)</t>
  </si>
  <si>
    <t>Interest Gained (BS)</t>
  </si>
  <si>
    <t>Opening Gross Fixed Assets</t>
  </si>
  <si>
    <t>Capex</t>
  </si>
  <si>
    <t>Closing Gross Fixed Assets</t>
  </si>
  <si>
    <t>For Reporting</t>
  </si>
  <si>
    <t>GFA</t>
  </si>
  <si>
    <t>Accumulated Depreciation</t>
  </si>
  <si>
    <t>NFA</t>
  </si>
  <si>
    <t>For Tax</t>
  </si>
  <si>
    <t>Acc Deprn</t>
  </si>
  <si>
    <t>Dep</t>
  </si>
  <si>
    <t>Depreciation per year for Tax</t>
  </si>
  <si>
    <t>Int</t>
  </si>
  <si>
    <t>Taxable</t>
  </si>
  <si>
    <t>Tax</t>
  </si>
  <si>
    <t>Tax Rate</t>
  </si>
  <si>
    <t>Percentage Increase in 2013</t>
  </si>
  <si>
    <t>Particulars</t>
  </si>
  <si>
    <t>Depreciation per year for reporting ( Assume Straight Line Depn)</t>
  </si>
  <si>
    <t>AVG COGS/Sales Ratio</t>
  </si>
  <si>
    <t>Total Expenditure/Sales Ratio</t>
  </si>
  <si>
    <t>interest  paid=( Sec + Unsec + STD)*interest rate</t>
  </si>
  <si>
    <t>Int Income2013 = AVG(Investments13,12)*Rate + Loans &amp; Adv*Rate</t>
  </si>
  <si>
    <t>NFA+Investments + non cash CA + Cash-(non cash CL + STD) + OA= SE + D + OL</t>
  </si>
  <si>
    <t>NFA+Investments + non cash CA  + OA - non STD CL= a</t>
  </si>
  <si>
    <t>a + Cash - STD = L</t>
  </si>
  <si>
    <t>Sundry Creditors</t>
  </si>
  <si>
    <t>Creditors for Capital Goods</t>
  </si>
  <si>
    <t>Creditors for Finance</t>
  </si>
  <si>
    <t>Creditors for Others</t>
  </si>
  <si>
    <t>Acceptances</t>
  </si>
  <si>
    <t>Application Money</t>
  </si>
  <si>
    <t>Warrants Application Money</t>
  </si>
  <si>
    <t>Bank Overdraft / Short term credit</t>
  </si>
  <si>
    <t>Advances from Customers / Credit balances</t>
  </si>
  <si>
    <t>Due to Subsidiary / Group Companies</t>
  </si>
  <si>
    <t>Trade and Other deposits</t>
  </si>
  <si>
    <t>Unclaimed Dividend</t>
  </si>
  <si>
    <t>Interest Accrued But Not Due</t>
  </si>
  <si>
    <t>Other Liabilities</t>
  </si>
  <si>
    <t>Interest rate on secured loans</t>
  </si>
  <si>
    <t>Interest rate on un-secured loans</t>
  </si>
  <si>
    <t>Interest Rate on Current Liabilities</t>
  </si>
  <si>
    <t>Interest rate received for Loans and Advances</t>
  </si>
  <si>
    <t>Interest rate received on investments</t>
  </si>
  <si>
    <t>Total Current Liabilities</t>
  </si>
  <si>
    <t>Net Interest Paid</t>
  </si>
  <si>
    <t>Short term debt</t>
  </si>
  <si>
    <t>A-Bar</t>
  </si>
  <si>
    <t>&lt;--Assumed values for Capex)</t>
  </si>
  <si>
    <t>Average Depn</t>
  </si>
  <si>
    <r>
      <t xml:space="preserve">STD= max( </t>
    </r>
    <r>
      <rPr>
        <b/>
        <i/>
        <sz val="11"/>
        <color theme="1"/>
        <rFont val="Calibri"/>
        <family val="2"/>
        <scheme val="minor"/>
      </rPr>
      <t>a</t>
    </r>
    <r>
      <rPr>
        <i/>
        <sz val="11"/>
        <color theme="1"/>
        <rFont val="Calibri"/>
        <family val="2"/>
        <scheme val="minor"/>
      </rPr>
      <t xml:space="preserve"> - L, 0)</t>
    </r>
  </si>
  <si>
    <r>
      <t>Cash = L - (</t>
    </r>
    <r>
      <rPr>
        <b/>
        <i/>
        <sz val="11"/>
        <color theme="1"/>
        <rFont val="Calibri"/>
        <family val="2"/>
        <scheme val="minor"/>
      </rPr>
      <t>a</t>
    </r>
    <r>
      <rPr>
        <i/>
        <sz val="11"/>
        <color theme="1"/>
        <rFont val="Calibri"/>
        <family val="2"/>
        <scheme val="minor"/>
      </rPr>
      <t>) + STD</t>
    </r>
  </si>
  <si>
    <t>Date</t>
  </si>
  <si>
    <t>Open Price</t>
  </si>
  <si>
    <t>Rf</t>
  </si>
  <si>
    <t>Ri - Rf</t>
  </si>
  <si>
    <t>Open</t>
  </si>
  <si>
    <t>Beta</t>
  </si>
  <si>
    <t>Risk Free Rate</t>
  </si>
  <si>
    <t>Cost of Equity (Ke)</t>
  </si>
  <si>
    <t>Daily</t>
  </si>
  <si>
    <t>Yearly</t>
  </si>
  <si>
    <t>Cost of Debt (Kd)</t>
  </si>
  <si>
    <t>Ke ( Unlevered )</t>
  </si>
  <si>
    <t>   Net Current Assets/ Working Capital</t>
  </si>
  <si>
    <t>Gross Cash Flow</t>
  </si>
  <si>
    <t>Total Current Assets</t>
  </si>
  <si>
    <t>Total Crrent Liabilities</t>
  </si>
  <si>
    <t>Working Capital</t>
  </si>
  <si>
    <t>Terminal Value</t>
  </si>
  <si>
    <t>Free Cash Flow</t>
  </si>
  <si>
    <t>( Capex + Change in WC + Change in Investments)</t>
  </si>
  <si>
    <t>(EBIT(1-t) + Depn</t>
  </si>
  <si>
    <t>Inventory + Loans &amp; Advances + Sundry Debtors + OCA</t>
  </si>
  <si>
    <t>Sundry Creditors + Provisions + OCL)</t>
  </si>
  <si>
    <t>TCA-TCL</t>
  </si>
  <si>
    <t>(GCF-GI)</t>
  </si>
  <si>
    <t>Net Present Value</t>
  </si>
  <si>
    <t>V (Unlevered)</t>
  </si>
  <si>
    <t>Gross Investments</t>
  </si>
  <si>
    <t>Tax Shield</t>
  </si>
  <si>
    <t>V(Levered) - 2012</t>
  </si>
  <si>
    <t>Equity-2012</t>
  </si>
  <si>
    <t>Share Price</t>
  </si>
  <si>
    <t>No of Shares (Crores)</t>
  </si>
  <si>
    <t>Terminal Growth Rate</t>
  </si>
  <si>
    <t>Terminal Growth Rate ( Assume)</t>
  </si>
  <si>
    <t>Sensitivity Analysis</t>
  </si>
  <si>
    <t>&lt;-Assumed Constant--&gt;</t>
  </si>
  <si>
    <t>Balance</t>
  </si>
  <si>
    <t>   Total Assets</t>
  </si>
  <si>
    <t>   Total Liabilities</t>
  </si>
  <si>
    <t>Returns(Ri)</t>
  </si>
  <si>
    <t>Rm</t>
  </si>
  <si>
    <t>Rm-Rf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</si>
</sst>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₹&quot;\ #,##0.00;[Red]&quot;₹&quot;\ \-#,##0.00"/>
    <numFmt numFmtId="165" formatCode="0.0%"/>
    <numFmt numFmtId="166" formatCode="0.0000%"/>
    <numFmt numFmtId="167" formatCode="#,##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4" tint="-0.249977111117893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7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9" fontId="0" fillId="0" borderId="0" xfId="0" applyNumberFormat="1"/>
    <xf numFmtId="4" fontId="0" fillId="0" borderId="0" xfId="0" applyNumberFormat="1"/>
    <xf numFmtId="10" fontId="0" fillId="0" borderId="0" xfId="0" applyNumberFormat="1"/>
    <xf numFmtId="0" fontId="2" fillId="0" borderId="0" xfId="0" applyFont="1"/>
    <xf numFmtId="0" fontId="4" fillId="2" borderId="0" xfId="0" applyFont="1" applyFill="1"/>
    <xf numFmtId="0" fontId="3" fillId="0" borderId="0" xfId="0" applyFont="1"/>
    <xf numFmtId="0" fontId="7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  <xf numFmtId="4" fontId="2" fillId="0" borderId="1" xfId="0" applyNumberFormat="1" applyFont="1" applyBorder="1" applyAlignment="1">
      <alignment wrapText="1"/>
    </xf>
    <xf numFmtId="165" fontId="0" fillId="0" borderId="0" xfId="0" applyNumberFormat="1"/>
    <xf numFmtId="0" fontId="8" fillId="0" borderId="0" xfId="0" applyFont="1" applyAlignment="1">
      <alignment horizontal="left"/>
    </xf>
    <xf numFmtId="10" fontId="0" fillId="0" borderId="0" xfId="1" applyNumberFormat="1" applyFont="1"/>
    <xf numFmtId="9" fontId="0" fillId="0" borderId="0" xfId="1" applyFont="1"/>
    <xf numFmtId="0" fontId="2" fillId="0" borderId="1" xfId="0" applyFont="1" applyBorder="1"/>
    <xf numFmtId="0" fontId="4" fillId="2" borderId="1" xfId="0" applyFont="1" applyFill="1" applyBorder="1"/>
    <xf numFmtId="0" fontId="0" fillId="0" borderId="1" xfId="0" applyBorder="1" applyAlignment="1">
      <alignment horizontal="center"/>
    </xf>
    <xf numFmtId="4" fontId="0" fillId="0" borderId="1" xfId="0" applyNumberFormat="1" applyBorder="1"/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13" fillId="2" borderId="1" xfId="0" applyFont="1" applyFill="1" applyBorder="1"/>
    <xf numFmtId="4" fontId="12" fillId="0" borderId="1" xfId="0" applyNumberFormat="1" applyFont="1" applyBorder="1"/>
    <xf numFmtId="0" fontId="12" fillId="0" borderId="1" xfId="0" applyFont="1" applyBorder="1"/>
    <xf numFmtId="0" fontId="6" fillId="2" borderId="1" xfId="0" applyFont="1" applyFill="1" applyBorder="1"/>
    <xf numFmtId="0" fontId="14" fillId="2" borderId="1" xfId="0" applyFont="1" applyFill="1" applyBorder="1"/>
    <xf numFmtId="0" fontId="3" fillId="0" borderId="1" xfId="0" applyFont="1" applyBorder="1"/>
    <xf numFmtId="1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66" fontId="0" fillId="0" borderId="1" xfId="1" applyNumberFormat="1" applyFont="1" applyBorder="1"/>
    <xf numFmtId="166" fontId="0" fillId="0" borderId="1" xfId="0" applyNumberFormat="1" applyBorder="1"/>
    <xf numFmtId="9" fontId="0" fillId="0" borderId="1" xfId="0" applyNumberFormat="1" applyBorder="1"/>
    <xf numFmtId="167" fontId="0" fillId="0" borderId="0" xfId="0" applyNumberFormat="1"/>
    <xf numFmtId="164" fontId="12" fillId="0" borderId="0" xfId="0" applyNumberFormat="1" applyFont="1"/>
    <xf numFmtId="164" fontId="0" fillId="0" borderId="1" xfId="0" applyNumberFormat="1" applyBorder="1"/>
    <xf numFmtId="0" fontId="0" fillId="0" borderId="0" xfId="0" applyBorder="1"/>
    <xf numFmtId="10" fontId="0" fillId="0" borderId="1" xfId="1" applyNumberFormat="1" applyFont="1" applyBorder="1" applyAlignment="1">
      <alignment wrapText="1"/>
    </xf>
    <xf numFmtId="0" fontId="7" fillId="0" borderId="1" xfId="0" applyFont="1" applyBorder="1"/>
    <xf numFmtId="9" fontId="0" fillId="0" borderId="0" xfId="0" applyNumberFormat="1" applyBorder="1"/>
    <xf numFmtId="2" fontId="0" fillId="0" borderId="1" xfId="0" applyNumberFormat="1" applyBorder="1"/>
    <xf numFmtId="0" fontId="15" fillId="0" borderId="0" xfId="0" applyFont="1"/>
    <xf numFmtId="0" fontId="0" fillId="2" borderId="1" xfId="0" applyFill="1" applyBorder="1"/>
    <xf numFmtId="17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0" fillId="2" borderId="0" xfId="0" applyFill="1"/>
    <xf numFmtId="0" fontId="2" fillId="2" borderId="0" xfId="0" applyFont="1" applyFill="1"/>
    <xf numFmtId="9" fontId="4" fillId="2" borderId="1" xfId="2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0" fontId="2" fillId="2" borderId="1" xfId="0" applyFont="1" applyFill="1" applyBorder="1"/>
    <xf numFmtId="0" fontId="7" fillId="0" borderId="1" xfId="0" applyFont="1" applyFill="1" applyBorder="1"/>
    <xf numFmtId="4" fontId="0" fillId="0" borderId="1" xfId="0" applyNumberFormat="1" applyFill="1" applyBorder="1"/>
    <xf numFmtId="0" fontId="8" fillId="2" borderId="1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8" fillId="2" borderId="1" xfId="0" applyFont="1" applyFill="1" applyBorder="1"/>
    <xf numFmtId="0" fontId="8" fillId="0" borderId="1" xfId="0" applyFont="1" applyBorder="1" applyAlignment="1">
      <alignment wrapText="1"/>
    </xf>
    <xf numFmtId="0" fontId="8" fillId="0" borderId="1" xfId="0" applyFont="1" applyBorder="1"/>
    <xf numFmtId="4" fontId="8" fillId="0" borderId="1" xfId="0" applyNumberFormat="1" applyFont="1" applyBorder="1" applyAlignment="1">
      <alignment wrapText="1"/>
    </xf>
    <xf numFmtId="4" fontId="8" fillId="0" borderId="1" xfId="0" applyNumberFormat="1" applyFont="1" applyBorder="1"/>
    <xf numFmtId="0" fontId="8" fillId="0" borderId="1" xfId="0" applyFont="1" applyFill="1" applyBorder="1"/>
    <xf numFmtId="4" fontId="16" fillId="0" borderId="1" xfId="0" applyNumberFormat="1" applyFont="1" applyBorder="1" applyAlignment="1">
      <alignment wrapText="1"/>
    </xf>
    <xf numFmtId="10" fontId="8" fillId="0" borderId="1" xfId="1" applyNumberFormat="1" applyFont="1" applyBorder="1" applyAlignment="1">
      <alignment wrapText="1"/>
    </xf>
    <xf numFmtId="4" fontId="16" fillId="0" borderId="1" xfId="0" applyNumberFormat="1" applyFont="1" applyBorder="1"/>
    <xf numFmtId="0" fontId="17" fillId="0" borderId="0" xfId="0" applyFont="1"/>
    <xf numFmtId="0" fontId="17" fillId="4" borderId="1" xfId="0" applyFont="1" applyFill="1" applyBorder="1"/>
    <xf numFmtId="0" fontId="0" fillId="4" borderId="1" xfId="0" applyFill="1" applyBorder="1"/>
  </cellXfs>
  <cellStyles count="3">
    <cellStyle name="60% - Accent1" xfId="2" builtinId="32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7"/>
  <sheetViews>
    <sheetView workbookViewId="0">
      <selection activeCell="D14" sqref="D14"/>
    </sheetView>
  </sheetViews>
  <sheetFormatPr defaultRowHeight="15" x14ac:dyDescent="0.25"/>
  <cols>
    <col min="1" max="1" width="36.85546875" customWidth="1"/>
    <col min="2" max="2" width="26" bestFit="1" customWidth="1"/>
    <col min="3" max="3" width="24" bestFit="1" customWidth="1"/>
  </cols>
  <sheetData>
    <row r="1" spans="1:2" x14ac:dyDescent="0.25">
      <c r="A1" s="8" t="s">
        <v>121</v>
      </c>
      <c r="B1" s="8" t="s">
        <v>120</v>
      </c>
    </row>
    <row r="2" spans="1:2" x14ac:dyDescent="0.25">
      <c r="A2" t="s">
        <v>87</v>
      </c>
      <c r="B2" s="4">
        <v>0.2</v>
      </c>
    </row>
    <row r="3" spans="1:2" x14ac:dyDescent="0.25">
      <c r="A3" t="s">
        <v>89</v>
      </c>
      <c r="B3" s="6">
        <v>3.8E-3</v>
      </c>
    </row>
    <row r="4" spans="1:2" x14ac:dyDescent="0.25">
      <c r="A4" t="s">
        <v>123</v>
      </c>
      <c r="B4" s="4">
        <v>0.15</v>
      </c>
    </row>
    <row r="5" spans="1:2" x14ac:dyDescent="0.25">
      <c r="A5" t="s">
        <v>124</v>
      </c>
      <c r="B5" s="4">
        <v>0.78</v>
      </c>
    </row>
    <row r="6" spans="1:2" x14ac:dyDescent="0.25">
      <c r="A6" t="s">
        <v>95</v>
      </c>
      <c r="B6" s="4">
        <v>0.31</v>
      </c>
    </row>
    <row r="7" spans="1:2" x14ac:dyDescent="0.25">
      <c r="A7" t="s">
        <v>122</v>
      </c>
      <c r="B7" s="4">
        <v>0.08</v>
      </c>
    </row>
    <row r="8" spans="1:2" x14ac:dyDescent="0.25">
      <c r="A8" t="s">
        <v>115</v>
      </c>
      <c r="B8" s="4">
        <v>0.16</v>
      </c>
    </row>
    <row r="9" spans="1:2" x14ac:dyDescent="0.25">
      <c r="A9" t="s">
        <v>119</v>
      </c>
      <c r="B9" s="4">
        <v>0.35</v>
      </c>
    </row>
    <row r="10" spans="1:2" x14ac:dyDescent="0.25">
      <c r="A10" t="s">
        <v>144</v>
      </c>
      <c r="B10" s="15">
        <v>8.5000000000000006E-2</v>
      </c>
    </row>
    <row r="11" spans="1:2" x14ac:dyDescent="0.25">
      <c r="A11" t="s">
        <v>145</v>
      </c>
      <c r="B11" s="4">
        <v>0.1</v>
      </c>
    </row>
    <row r="12" spans="1:2" x14ac:dyDescent="0.25">
      <c r="A12" s="16" t="s">
        <v>146</v>
      </c>
      <c r="B12" s="15">
        <f>11.5%</f>
        <v>0.115</v>
      </c>
    </row>
    <row r="13" spans="1:2" x14ac:dyDescent="0.25">
      <c r="A13" t="s">
        <v>100</v>
      </c>
      <c r="B13" s="15">
        <v>0.125</v>
      </c>
    </row>
    <row r="14" spans="1:2" x14ac:dyDescent="0.25">
      <c r="A14" t="s">
        <v>147</v>
      </c>
      <c r="B14" s="17">
        <f>9.75%</f>
        <v>9.7500000000000003E-2</v>
      </c>
    </row>
    <row r="15" spans="1:2" x14ac:dyDescent="0.25">
      <c r="A15" t="s">
        <v>148</v>
      </c>
      <c r="B15" s="18">
        <f>9%</f>
        <v>0.09</v>
      </c>
    </row>
    <row r="16" spans="1:2" x14ac:dyDescent="0.25">
      <c r="A16" t="s">
        <v>190</v>
      </c>
      <c r="B16" s="4">
        <f>Nifty!H10</f>
        <v>0.02</v>
      </c>
    </row>
    <row r="17" spans="2:2" x14ac:dyDescent="0.25">
      <c r="B17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K44" sqref="K44"/>
    </sheetView>
  </sheetViews>
  <sheetFormatPr defaultRowHeight="15" x14ac:dyDescent="0.25"/>
  <cols>
    <col min="1" max="1" width="36.5703125" bestFit="1" customWidth="1"/>
    <col min="2" max="2" width="9.7109375" bestFit="1" customWidth="1"/>
    <col min="3" max="3" width="9.7109375" style="25" bestFit="1" customWidth="1"/>
    <col min="4" max="8" width="9.140625" style="25"/>
  </cols>
  <sheetData>
    <row r="1" spans="1:8" x14ac:dyDescent="0.25">
      <c r="A1" t="s">
        <v>0</v>
      </c>
    </row>
    <row r="2" spans="1:8" x14ac:dyDescent="0.25">
      <c r="A2" s="1" t="s">
        <v>1</v>
      </c>
    </row>
    <row r="3" spans="1:8" x14ac:dyDescent="0.25">
      <c r="A3" s="2"/>
    </row>
    <row r="4" spans="1:8" x14ac:dyDescent="0.25">
      <c r="A4" s="1" t="s">
        <v>2</v>
      </c>
    </row>
    <row r="5" spans="1:8" x14ac:dyDescent="0.25">
      <c r="A5" s="3" t="s">
        <v>3</v>
      </c>
    </row>
    <row r="6" spans="1:8" x14ac:dyDescent="0.25">
      <c r="A6" s="48" t="s">
        <v>4</v>
      </c>
      <c r="B6" s="48" t="s">
        <v>5</v>
      </c>
      <c r="C6" s="49">
        <v>41334</v>
      </c>
      <c r="D6" s="49">
        <v>41699</v>
      </c>
      <c r="E6" s="49">
        <v>42064</v>
      </c>
      <c r="F6" s="49">
        <v>42430</v>
      </c>
      <c r="G6" s="49">
        <v>42795</v>
      </c>
      <c r="H6" s="49">
        <v>43160</v>
      </c>
    </row>
    <row r="7" spans="1:8" x14ac:dyDescent="0.25">
      <c r="A7" s="11" t="s">
        <v>6</v>
      </c>
      <c r="B7" s="11"/>
      <c r="C7" s="11"/>
      <c r="D7" s="11"/>
      <c r="E7" s="11"/>
      <c r="F7" s="11"/>
      <c r="G7" s="11"/>
      <c r="H7" s="11"/>
    </row>
    <row r="8" spans="1:8" x14ac:dyDescent="0.25">
      <c r="A8" s="11" t="s">
        <v>7</v>
      </c>
      <c r="B8" s="11">
        <v>491.7</v>
      </c>
      <c r="C8" s="11">
        <f>B8</f>
        <v>491.7</v>
      </c>
      <c r="D8" s="11">
        <f t="shared" ref="D8:H8" si="0">C8</f>
        <v>491.7</v>
      </c>
      <c r="E8" s="11">
        <f t="shared" si="0"/>
        <v>491.7</v>
      </c>
      <c r="F8" s="11">
        <f t="shared" si="0"/>
        <v>491.7</v>
      </c>
      <c r="G8" s="11">
        <f t="shared" si="0"/>
        <v>491.7</v>
      </c>
      <c r="H8" s="11">
        <f t="shared" si="0"/>
        <v>491.7</v>
      </c>
    </row>
    <row r="9" spans="1:8" x14ac:dyDescent="0.25">
      <c r="A9" s="11" t="s">
        <v>8</v>
      </c>
      <c r="B9" s="11">
        <v>23860.799999999999</v>
      </c>
      <c r="C9" s="11">
        <f ca="1">B9+PL!M45</f>
        <v>26943.656511306002</v>
      </c>
      <c r="D9" s="11">
        <f ca="1">C9+PL!N45</f>
        <v>30623.079885583204</v>
      </c>
      <c r="E9" s="11">
        <f ca="1">D9+PL!O45</f>
        <v>35032.172985456244</v>
      </c>
      <c r="F9" s="11">
        <f ca="1">E9+PL!P45</f>
        <v>40327.948587349834</v>
      </c>
      <c r="G9" s="11">
        <f ca="1">F9+PL!Q45</f>
        <v>46696.633389644718</v>
      </c>
      <c r="H9" s="11">
        <f ca="1">G9+PL!R45</f>
        <v>54359.949298401552</v>
      </c>
    </row>
    <row r="10" spans="1:8" x14ac:dyDescent="0.25">
      <c r="A10" s="11" t="s">
        <v>9</v>
      </c>
      <c r="B10" s="11">
        <v>0</v>
      </c>
      <c r="C10" s="11">
        <f>B10</f>
        <v>0</v>
      </c>
      <c r="D10" s="11">
        <f t="shared" ref="D10:H10" si="1">C10</f>
        <v>0</v>
      </c>
      <c r="E10" s="11">
        <f t="shared" si="1"/>
        <v>0</v>
      </c>
      <c r="F10" s="11">
        <f t="shared" si="1"/>
        <v>0</v>
      </c>
      <c r="G10" s="11">
        <f t="shared" si="1"/>
        <v>0</v>
      </c>
      <c r="H10" s="11">
        <f t="shared" si="1"/>
        <v>0</v>
      </c>
    </row>
    <row r="11" spans="1:8" x14ac:dyDescent="0.25">
      <c r="A11" s="11" t="s">
        <v>10</v>
      </c>
      <c r="B11" s="11">
        <v>0</v>
      </c>
      <c r="C11" s="11">
        <f>B11</f>
        <v>0</v>
      </c>
      <c r="D11" s="11">
        <f t="shared" ref="D11:H11" si="2">C11</f>
        <v>0</v>
      </c>
      <c r="E11" s="11">
        <f t="shared" si="2"/>
        <v>0</v>
      </c>
      <c r="F11" s="11">
        <f t="shared" si="2"/>
        <v>0</v>
      </c>
      <c r="G11" s="11">
        <f t="shared" si="2"/>
        <v>0</v>
      </c>
      <c r="H11" s="11">
        <f t="shared" si="2"/>
        <v>0</v>
      </c>
    </row>
    <row r="12" spans="1:8" x14ac:dyDescent="0.25">
      <c r="A12" s="11" t="s">
        <v>11</v>
      </c>
      <c r="B12" s="11">
        <v>24352.5</v>
      </c>
      <c r="C12" s="11">
        <f ca="1">SUM(C8:C11)</f>
        <v>27435.356511306003</v>
      </c>
      <c r="D12" s="11">
        <f t="shared" ref="D12:H12" ca="1" si="3">SUM(D8:D11)</f>
        <v>31114.779885583204</v>
      </c>
      <c r="E12" s="11">
        <f t="shared" ca="1" si="3"/>
        <v>35523.872985456241</v>
      </c>
      <c r="F12" s="11">
        <f t="shared" ca="1" si="3"/>
        <v>40819.648587349831</v>
      </c>
      <c r="G12" s="11">
        <f t="shared" ca="1" si="3"/>
        <v>47188.333389644715</v>
      </c>
      <c r="H12" s="11">
        <f t="shared" ca="1" si="3"/>
        <v>54851.649298401549</v>
      </c>
    </row>
    <row r="13" spans="1:8" x14ac:dyDescent="0.25">
      <c r="A13" s="11" t="s">
        <v>12</v>
      </c>
      <c r="B13" s="11">
        <v>1</v>
      </c>
      <c r="C13" s="11">
        <f>B13</f>
        <v>1</v>
      </c>
      <c r="D13" s="11">
        <f t="shared" ref="D13:H14" si="4">C13</f>
        <v>1</v>
      </c>
      <c r="E13" s="11">
        <f t="shared" si="4"/>
        <v>1</v>
      </c>
      <c r="F13" s="11">
        <f t="shared" si="4"/>
        <v>1</v>
      </c>
      <c r="G13" s="11">
        <f t="shared" si="4"/>
        <v>1</v>
      </c>
      <c r="H13" s="11">
        <f t="shared" si="4"/>
        <v>1</v>
      </c>
    </row>
    <row r="14" spans="1:8" x14ac:dyDescent="0.25">
      <c r="A14" s="11" t="s">
        <v>13</v>
      </c>
      <c r="B14" s="11">
        <v>5285.9</v>
      </c>
      <c r="C14" s="11">
        <f>B14</f>
        <v>5285.9</v>
      </c>
      <c r="D14" s="11">
        <f t="shared" si="4"/>
        <v>5285.9</v>
      </c>
      <c r="E14" s="11">
        <f t="shared" si="4"/>
        <v>5285.9</v>
      </c>
      <c r="F14" s="11">
        <f t="shared" si="4"/>
        <v>5285.9</v>
      </c>
      <c r="G14" s="11">
        <f t="shared" si="4"/>
        <v>5285.9</v>
      </c>
      <c r="H14" s="11">
        <f t="shared" si="4"/>
        <v>5285.9</v>
      </c>
    </row>
    <row r="15" spans="1:8" x14ac:dyDescent="0.25">
      <c r="A15" s="11" t="s">
        <v>14</v>
      </c>
      <c r="B15" s="11">
        <v>5286.9</v>
      </c>
      <c r="C15" s="11">
        <f>SUM(C13:C14)</f>
        <v>5286.9</v>
      </c>
      <c r="D15" s="11">
        <f t="shared" ref="D15:H15" si="5">SUM(D13:D14)</f>
        <v>5286.9</v>
      </c>
      <c r="E15" s="11">
        <f t="shared" si="5"/>
        <v>5286.9</v>
      </c>
      <c r="F15" s="11">
        <f t="shared" si="5"/>
        <v>5286.9</v>
      </c>
      <c r="G15" s="11">
        <f t="shared" si="5"/>
        <v>5286.9</v>
      </c>
      <c r="H15" s="11">
        <f t="shared" si="5"/>
        <v>5286.9</v>
      </c>
    </row>
    <row r="16" spans="1:8" x14ac:dyDescent="0.25">
      <c r="A16" s="11" t="s">
        <v>15</v>
      </c>
      <c r="B16" s="11">
        <v>294.8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1:8" s="70" customFormat="1" x14ac:dyDescent="0.25">
      <c r="A17" s="71" t="s">
        <v>196</v>
      </c>
      <c r="B17" s="71">
        <v>29934.2</v>
      </c>
      <c r="C17" s="71">
        <f ca="1">C12+C15+C16</f>
        <v>32722.256511306005</v>
      </c>
      <c r="D17" s="71">
        <f t="shared" ref="D17:H17" ca="1" si="6">D12+D15+D16</f>
        <v>36401.679885583202</v>
      </c>
      <c r="E17" s="71">
        <f t="shared" ca="1" si="6"/>
        <v>40810.772985456242</v>
      </c>
      <c r="F17" s="71">
        <f t="shared" ca="1" si="6"/>
        <v>46106.548587349833</v>
      </c>
      <c r="G17" s="71">
        <f t="shared" ca="1" si="6"/>
        <v>52475.233389644716</v>
      </c>
      <c r="H17" s="71">
        <f t="shared" ca="1" si="6"/>
        <v>60138.549298401551</v>
      </c>
    </row>
    <row r="18" spans="1:8" x14ac:dyDescent="0.25">
      <c r="A18" s="11" t="s">
        <v>16</v>
      </c>
      <c r="B18" s="11"/>
      <c r="C18" s="11"/>
      <c r="D18" s="11"/>
      <c r="E18" s="11"/>
      <c r="F18" s="11"/>
      <c r="G18" s="11"/>
      <c r="H18" s="11"/>
    </row>
    <row r="19" spans="1:8" x14ac:dyDescent="0.25">
      <c r="A19" s="11" t="s">
        <v>17</v>
      </c>
      <c r="B19" s="11">
        <v>8807.7999999999993</v>
      </c>
      <c r="C19" s="11">
        <f>Depn!C6</f>
        <v>9460.2000000000007</v>
      </c>
      <c r="D19" s="11">
        <f>Depn!D6</f>
        <v>9861.4000000000015</v>
      </c>
      <c r="E19" s="11">
        <f>Depn!E6</f>
        <v>10312.600000000002</v>
      </c>
      <c r="F19" s="11">
        <f>Depn!F6</f>
        <v>10813.800000000003</v>
      </c>
      <c r="G19" s="11">
        <f>Depn!G6</f>
        <v>11365.000000000004</v>
      </c>
      <c r="H19" s="11">
        <f>Depn!H6</f>
        <v>11966.200000000004</v>
      </c>
    </row>
    <row r="20" spans="1:8" x14ac:dyDescent="0.25">
      <c r="A20" s="11" t="s">
        <v>18</v>
      </c>
      <c r="B20" s="11">
        <v>4158</v>
      </c>
      <c r="C20" s="11">
        <f>Depn!C7</f>
        <v>4900.768</v>
      </c>
      <c r="D20" s="11">
        <f>Depn!D7</f>
        <v>5673.6320000000005</v>
      </c>
      <c r="E20" s="11">
        <f>Depn!E7</f>
        <v>6480.5920000000006</v>
      </c>
      <c r="F20" s="11">
        <f>Depn!F7</f>
        <v>7325.648000000001</v>
      </c>
      <c r="G20" s="11">
        <f>Depn!G7</f>
        <v>8212.8000000000011</v>
      </c>
      <c r="H20" s="11">
        <f>Depn!H7</f>
        <v>9146.0480000000007</v>
      </c>
    </row>
    <row r="21" spans="1:8" x14ac:dyDescent="0.25">
      <c r="A21" s="11" t="s">
        <v>19</v>
      </c>
      <c r="B21" s="11">
        <v>0</v>
      </c>
      <c r="C21" s="11">
        <f>B21</f>
        <v>0</v>
      </c>
      <c r="D21" s="11">
        <f t="shared" ref="D21:H21" si="7">C21</f>
        <v>0</v>
      </c>
      <c r="E21" s="11">
        <f t="shared" si="7"/>
        <v>0</v>
      </c>
      <c r="F21" s="11">
        <f t="shared" si="7"/>
        <v>0</v>
      </c>
      <c r="G21" s="11">
        <f t="shared" si="7"/>
        <v>0</v>
      </c>
      <c r="H21" s="11">
        <f t="shared" si="7"/>
        <v>0</v>
      </c>
    </row>
    <row r="22" spans="1:8" x14ac:dyDescent="0.25">
      <c r="A22" s="11" t="s">
        <v>20</v>
      </c>
      <c r="B22" s="11">
        <v>4649.8</v>
      </c>
      <c r="C22" s="11">
        <f>C19-C20-C21</f>
        <v>4559.4320000000007</v>
      </c>
      <c r="D22" s="11">
        <f t="shared" ref="D22:H22" si="8">D19-D20-D21</f>
        <v>4187.7680000000009</v>
      </c>
      <c r="E22" s="11">
        <f t="shared" si="8"/>
        <v>3832.0080000000016</v>
      </c>
      <c r="F22" s="11">
        <f t="shared" si="8"/>
        <v>3488.1520000000019</v>
      </c>
      <c r="G22" s="11">
        <f t="shared" si="8"/>
        <v>3152.2000000000025</v>
      </c>
      <c r="H22" s="11">
        <f t="shared" si="8"/>
        <v>2820.1520000000037</v>
      </c>
    </row>
    <row r="23" spans="1:8" x14ac:dyDescent="0.25">
      <c r="A23" s="11" t="s">
        <v>21</v>
      </c>
      <c r="B23" s="11">
        <v>0</v>
      </c>
      <c r="C23" s="11">
        <f>B23</f>
        <v>0</v>
      </c>
      <c r="D23" s="11">
        <f t="shared" ref="D23:H23" si="9">C23</f>
        <v>0</v>
      </c>
      <c r="E23" s="11">
        <f t="shared" si="9"/>
        <v>0</v>
      </c>
      <c r="F23" s="11">
        <f t="shared" si="9"/>
        <v>0</v>
      </c>
      <c r="G23" s="11">
        <f t="shared" si="9"/>
        <v>0</v>
      </c>
      <c r="H23" s="11">
        <f t="shared" si="9"/>
        <v>0</v>
      </c>
    </row>
    <row r="24" spans="1:8" x14ac:dyDescent="0.25">
      <c r="A24" s="11" t="s">
        <v>22</v>
      </c>
      <c r="B24" s="11">
        <v>301.2</v>
      </c>
      <c r="C24" s="11">
        <f>Depn!C3</f>
        <v>351.2</v>
      </c>
      <c r="D24" s="11">
        <f>Depn!D3</f>
        <v>401.2</v>
      </c>
      <c r="E24" s="11">
        <f>Depn!E3</f>
        <v>451.2</v>
      </c>
      <c r="F24" s="11">
        <f>Depn!F3</f>
        <v>501.2</v>
      </c>
      <c r="G24" s="11">
        <f>Depn!G3</f>
        <v>551.20000000000005</v>
      </c>
      <c r="H24" s="11">
        <f>Depn!H3</f>
        <v>601.20000000000005</v>
      </c>
    </row>
    <row r="25" spans="1:8" x14ac:dyDescent="0.25">
      <c r="A25" s="11" t="s">
        <v>23</v>
      </c>
      <c r="B25" s="11">
        <v>10335.200000000001</v>
      </c>
      <c r="C25" s="11">
        <f>B25+500</f>
        <v>10835.2</v>
      </c>
      <c r="D25" s="11">
        <f t="shared" ref="D25:H25" si="10">C25+500</f>
        <v>11335.2</v>
      </c>
      <c r="E25" s="11">
        <f t="shared" si="10"/>
        <v>11835.2</v>
      </c>
      <c r="F25" s="11">
        <f t="shared" si="10"/>
        <v>12335.2</v>
      </c>
      <c r="G25" s="11">
        <f t="shared" si="10"/>
        <v>12835.2</v>
      </c>
      <c r="H25" s="11">
        <f t="shared" si="10"/>
        <v>13335.2</v>
      </c>
    </row>
    <row r="26" spans="1:8" x14ac:dyDescent="0.25">
      <c r="A26" s="11" t="s">
        <v>24</v>
      </c>
      <c r="B26" s="11"/>
      <c r="C26" s="11"/>
      <c r="D26" s="11"/>
      <c r="E26" s="11"/>
      <c r="F26" s="11"/>
      <c r="G26" s="11"/>
      <c r="H26" s="11"/>
    </row>
    <row r="27" spans="1:8" x14ac:dyDescent="0.25">
      <c r="A27" s="11" t="s">
        <v>25</v>
      </c>
      <c r="B27" s="11">
        <v>785.1</v>
      </c>
      <c r="C27" s="11">
        <f>B27*(1+Assumptions!$B$2)</f>
        <v>942.12</v>
      </c>
      <c r="D27" s="11">
        <f>C27*(1+Assumptions!$B$2)</f>
        <v>1130.5439999999999</v>
      </c>
      <c r="E27" s="11">
        <f>D27*(1+Assumptions!$B$2)</f>
        <v>1356.6527999999998</v>
      </c>
      <c r="F27" s="11">
        <f>E27*(1+Assumptions!$B$2)</f>
        <v>1627.9833599999997</v>
      </c>
      <c r="G27" s="11">
        <f>F27*(1+Assumptions!$B$2)</f>
        <v>1953.5800319999996</v>
      </c>
      <c r="H27" s="11">
        <f>G27*(1+Assumptions!$B$2)</f>
        <v>2344.2960383999994</v>
      </c>
    </row>
    <row r="28" spans="1:8" x14ac:dyDescent="0.25">
      <c r="A28" s="11" t="s">
        <v>26</v>
      </c>
      <c r="B28" s="11">
        <v>7967</v>
      </c>
      <c r="C28" s="11">
        <f>B28*(1+Assumptions!$B$2)</f>
        <v>9560.4</v>
      </c>
      <c r="D28" s="11">
        <f>C28*(1+Assumptions!$B$2)</f>
        <v>11472.48</v>
      </c>
      <c r="E28" s="11">
        <f>D28*(1+Assumptions!$B$2)</f>
        <v>13766.975999999999</v>
      </c>
      <c r="F28" s="11">
        <f>E28*(1+Assumptions!$B$2)</f>
        <v>16520.371199999998</v>
      </c>
      <c r="G28" s="11">
        <f>F28*(1+Assumptions!$B$2)</f>
        <v>19824.445439999996</v>
      </c>
      <c r="H28" s="11">
        <f>G28*(1+Assumptions!$B$2)</f>
        <v>23789.334527999996</v>
      </c>
    </row>
    <row r="29" spans="1:8" x14ac:dyDescent="0.25">
      <c r="A29" s="11" t="s">
        <v>27</v>
      </c>
      <c r="B29" s="11">
        <v>6232.8</v>
      </c>
      <c r="C29" s="11">
        <f t="shared" ref="C29:H29" ca="1" si="11">C17-C51+C41</f>
        <v>8367.6045113059954</v>
      </c>
      <c r="D29" s="11">
        <f t="shared" ca="1" si="11"/>
        <v>11375.707885583193</v>
      </c>
      <c r="E29" s="11">
        <f t="shared" ca="1" si="11"/>
        <v>15088.980185456232</v>
      </c>
      <c r="F29" s="11">
        <f t="shared" ca="1" si="11"/>
        <v>19666.714827349821</v>
      </c>
      <c r="G29" s="11">
        <f t="shared" ca="1" si="11"/>
        <v>25297.075277644697</v>
      </c>
      <c r="H29" s="11">
        <f t="shared" ca="1" si="11"/>
        <v>32203.307564001541</v>
      </c>
    </row>
    <row r="30" spans="1:8" x14ac:dyDescent="0.25">
      <c r="A30" s="11" t="s">
        <v>28</v>
      </c>
      <c r="B30" s="11">
        <v>6432.4</v>
      </c>
      <c r="C30" s="11">
        <f>B30+500</f>
        <v>6932.4</v>
      </c>
      <c r="D30" s="11">
        <f t="shared" ref="D30:H30" si="12">C30+500</f>
        <v>7432.4</v>
      </c>
      <c r="E30" s="11">
        <f t="shared" si="12"/>
        <v>7932.4</v>
      </c>
      <c r="F30" s="11">
        <f t="shared" si="12"/>
        <v>8432.4</v>
      </c>
      <c r="G30" s="11">
        <f t="shared" si="12"/>
        <v>8932.4</v>
      </c>
      <c r="H30" s="11">
        <f t="shared" si="12"/>
        <v>9432.4</v>
      </c>
    </row>
    <row r="31" spans="1:8" s="7" customFormat="1" x14ac:dyDescent="0.25">
      <c r="A31" s="19" t="s">
        <v>29</v>
      </c>
      <c r="B31" s="11">
        <v>21417.3</v>
      </c>
      <c r="C31" s="11">
        <f ca="1">C27+C28+C30+C29</f>
        <v>25802.524511305994</v>
      </c>
      <c r="D31" s="11">
        <f t="shared" ref="D31:H31" ca="1" si="13">D27+D28+D30+D29</f>
        <v>31411.131885583192</v>
      </c>
      <c r="E31" s="11">
        <f t="shared" ca="1" si="13"/>
        <v>38145.008985456232</v>
      </c>
      <c r="F31" s="11">
        <f t="shared" ca="1" si="13"/>
        <v>46247.469387349818</v>
      </c>
      <c r="G31" s="11">
        <f t="shared" ca="1" si="13"/>
        <v>56007.500749644692</v>
      </c>
      <c r="H31" s="11">
        <f t="shared" ca="1" si="13"/>
        <v>67769.338130401535</v>
      </c>
    </row>
    <row r="32" spans="1:8" x14ac:dyDescent="0.25">
      <c r="A32" s="11" t="s">
        <v>30</v>
      </c>
      <c r="B32" s="11"/>
      <c r="C32" s="11"/>
      <c r="D32" s="11"/>
      <c r="E32" s="11"/>
      <c r="F32" s="11"/>
      <c r="G32" s="11"/>
      <c r="H32" s="11"/>
    </row>
    <row r="33" spans="1:8" x14ac:dyDescent="0.25">
      <c r="A33" s="11" t="s">
        <v>31</v>
      </c>
      <c r="B33" s="11">
        <v>5899.2</v>
      </c>
      <c r="C33" s="11">
        <f t="shared" ref="C33:H33" si="14">C34+C38+C42+C43+C44+C47</f>
        <v>7053.4599999999991</v>
      </c>
      <c r="D33" s="11">
        <f t="shared" si="14"/>
        <v>8449.3719999999976</v>
      </c>
      <c r="E33" s="11">
        <f t="shared" si="14"/>
        <v>10124.466399999998</v>
      </c>
      <c r="F33" s="11">
        <f t="shared" si="14"/>
        <v>12134.579679999997</v>
      </c>
      <c r="G33" s="11">
        <f t="shared" si="14"/>
        <v>14546.715615999996</v>
      </c>
      <c r="H33" s="11">
        <f t="shared" si="14"/>
        <v>17441.278739199995</v>
      </c>
    </row>
    <row r="34" spans="1:8" x14ac:dyDescent="0.25">
      <c r="A34" s="11" t="s">
        <v>130</v>
      </c>
      <c r="B34" s="11">
        <v>3892.2</v>
      </c>
      <c r="C34" s="11">
        <f>B34*(1+Assumptions!$B$2)</f>
        <v>4670.6399999999994</v>
      </c>
      <c r="D34" s="11">
        <f>C34*(1+Assumptions!$B$2)</f>
        <v>5604.7679999999991</v>
      </c>
      <c r="E34" s="11">
        <f>D34*(1+Assumptions!$B$2)</f>
        <v>6725.7215999999989</v>
      </c>
      <c r="F34" s="11">
        <f>E34*(1+Assumptions!$B$2)</f>
        <v>8070.8659199999984</v>
      </c>
      <c r="G34" s="11">
        <f>F34*(1+Assumptions!$B$2)</f>
        <v>9685.0391039999977</v>
      </c>
      <c r="H34" s="11">
        <f>G34*(1+Assumptions!$B$2)</f>
        <v>11622.046924799997</v>
      </c>
    </row>
    <row r="35" spans="1:8" x14ac:dyDescent="0.25">
      <c r="A35" s="11" t="s">
        <v>131</v>
      </c>
      <c r="B35" s="11">
        <v>0</v>
      </c>
      <c r="C35" s="11">
        <f t="shared" ref="C35:C40" si="15">B35</f>
        <v>0</v>
      </c>
      <c r="D35" s="11">
        <f t="shared" ref="D35:H35" si="16">C35</f>
        <v>0</v>
      </c>
      <c r="E35" s="11">
        <f t="shared" si="16"/>
        <v>0</v>
      </c>
      <c r="F35" s="11">
        <f t="shared" si="16"/>
        <v>0</v>
      </c>
      <c r="G35" s="11">
        <f t="shared" si="16"/>
        <v>0</v>
      </c>
      <c r="H35" s="11">
        <f t="shared" si="16"/>
        <v>0</v>
      </c>
    </row>
    <row r="36" spans="1:8" x14ac:dyDescent="0.25">
      <c r="A36" s="11" t="s">
        <v>132</v>
      </c>
      <c r="B36" s="11">
        <v>0</v>
      </c>
      <c r="C36" s="11">
        <f t="shared" si="15"/>
        <v>0</v>
      </c>
      <c r="D36" s="11">
        <f t="shared" ref="D36:H36" si="17">C36</f>
        <v>0</v>
      </c>
      <c r="E36" s="11">
        <f t="shared" si="17"/>
        <v>0</v>
      </c>
      <c r="F36" s="11">
        <f t="shared" si="17"/>
        <v>0</v>
      </c>
      <c r="G36" s="11">
        <f t="shared" si="17"/>
        <v>0</v>
      </c>
      <c r="H36" s="11">
        <f t="shared" si="17"/>
        <v>0</v>
      </c>
    </row>
    <row r="37" spans="1:8" x14ac:dyDescent="0.25">
      <c r="A37" s="11" t="s">
        <v>133</v>
      </c>
      <c r="B37" s="11">
        <v>0</v>
      </c>
      <c r="C37" s="11">
        <f t="shared" si="15"/>
        <v>0</v>
      </c>
      <c r="D37" s="11">
        <f t="shared" ref="D37:H37" si="18">C37</f>
        <v>0</v>
      </c>
      <c r="E37" s="11">
        <f t="shared" si="18"/>
        <v>0</v>
      </c>
      <c r="F37" s="11">
        <f t="shared" si="18"/>
        <v>0</v>
      </c>
      <c r="G37" s="11">
        <f t="shared" si="18"/>
        <v>0</v>
      </c>
      <c r="H37" s="11">
        <f t="shared" si="18"/>
        <v>0</v>
      </c>
    </row>
    <row r="38" spans="1:8" x14ac:dyDescent="0.25">
      <c r="A38" s="11" t="s">
        <v>134</v>
      </c>
      <c r="B38" s="11">
        <v>0</v>
      </c>
      <c r="C38" s="11">
        <f t="shared" si="15"/>
        <v>0</v>
      </c>
      <c r="D38" s="11">
        <f t="shared" ref="D38:H40" si="19">C38</f>
        <v>0</v>
      </c>
      <c r="E38" s="11">
        <f t="shared" si="19"/>
        <v>0</v>
      </c>
      <c r="F38" s="11">
        <f t="shared" si="19"/>
        <v>0</v>
      </c>
      <c r="G38" s="11">
        <f t="shared" si="19"/>
        <v>0</v>
      </c>
      <c r="H38" s="11">
        <f t="shared" si="19"/>
        <v>0</v>
      </c>
    </row>
    <row r="39" spans="1:8" x14ac:dyDescent="0.25">
      <c r="A39" s="11" t="s">
        <v>135</v>
      </c>
      <c r="B39" s="11">
        <v>0</v>
      </c>
      <c r="C39" s="11">
        <f t="shared" si="15"/>
        <v>0</v>
      </c>
      <c r="D39" s="11">
        <f t="shared" si="19"/>
        <v>0</v>
      </c>
      <c r="E39" s="11">
        <f t="shared" si="19"/>
        <v>0</v>
      </c>
      <c r="F39" s="11">
        <f t="shared" si="19"/>
        <v>0</v>
      </c>
      <c r="G39" s="11">
        <f t="shared" si="19"/>
        <v>0</v>
      </c>
      <c r="H39" s="11">
        <f t="shared" si="19"/>
        <v>0</v>
      </c>
    </row>
    <row r="40" spans="1:8" x14ac:dyDescent="0.25">
      <c r="A40" s="11" t="s">
        <v>136</v>
      </c>
      <c r="B40" s="11">
        <v>0</v>
      </c>
      <c r="C40" s="11">
        <f t="shared" si="15"/>
        <v>0</v>
      </c>
      <c r="D40" s="11">
        <f t="shared" si="19"/>
        <v>0</v>
      </c>
      <c r="E40" s="11">
        <f t="shared" si="19"/>
        <v>0</v>
      </c>
      <c r="F40" s="11">
        <f t="shared" si="19"/>
        <v>0</v>
      </c>
      <c r="G40" s="11">
        <f t="shared" si="19"/>
        <v>0</v>
      </c>
      <c r="H40" s="11">
        <f t="shared" si="19"/>
        <v>0</v>
      </c>
    </row>
    <row r="41" spans="1:8" x14ac:dyDescent="0.25">
      <c r="A41" s="11" t="s">
        <v>137</v>
      </c>
      <c r="B41" s="11">
        <v>0</v>
      </c>
      <c r="C41" s="11">
        <f t="shared" ref="C41:H41" ca="1" si="20">MAX(0,C51-C17)</f>
        <v>0</v>
      </c>
      <c r="D41" s="11">
        <f t="shared" ca="1" si="20"/>
        <v>0</v>
      </c>
      <c r="E41" s="11">
        <f t="shared" ca="1" si="20"/>
        <v>0</v>
      </c>
      <c r="F41" s="11">
        <f t="shared" ca="1" si="20"/>
        <v>0</v>
      </c>
      <c r="G41" s="11">
        <f t="shared" ca="1" si="20"/>
        <v>0</v>
      </c>
      <c r="H41" s="11">
        <f t="shared" ca="1" si="20"/>
        <v>0</v>
      </c>
    </row>
    <row r="42" spans="1:8" x14ac:dyDescent="0.25">
      <c r="A42" s="11" t="s">
        <v>138</v>
      </c>
      <c r="B42" s="11">
        <v>73.900000000000006</v>
      </c>
      <c r="C42" s="11">
        <f>B42</f>
        <v>73.900000000000006</v>
      </c>
      <c r="D42" s="11">
        <f t="shared" ref="D42:H42" si="21">C42</f>
        <v>73.900000000000006</v>
      </c>
      <c r="E42" s="11">
        <f t="shared" si="21"/>
        <v>73.900000000000006</v>
      </c>
      <c r="F42" s="11">
        <f t="shared" si="21"/>
        <v>73.900000000000006</v>
      </c>
      <c r="G42" s="11">
        <f t="shared" si="21"/>
        <v>73.900000000000006</v>
      </c>
      <c r="H42" s="11">
        <f t="shared" si="21"/>
        <v>73.900000000000006</v>
      </c>
    </row>
    <row r="43" spans="1:8" x14ac:dyDescent="0.25">
      <c r="A43" s="11" t="s">
        <v>139</v>
      </c>
      <c r="B43" s="11">
        <v>0</v>
      </c>
      <c r="C43" s="11">
        <f>B43</f>
        <v>0</v>
      </c>
      <c r="D43" s="11">
        <f>AVERAGE(B43:C43)</f>
        <v>0</v>
      </c>
      <c r="E43" s="11">
        <f t="shared" ref="E43:H43" si="22">AVERAGE(C43:D43)</f>
        <v>0</v>
      </c>
      <c r="F43" s="11">
        <f t="shared" si="22"/>
        <v>0</v>
      </c>
      <c r="G43" s="11">
        <f t="shared" si="22"/>
        <v>0</v>
      </c>
      <c r="H43" s="11">
        <f t="shared" si="22"/>
        <v>0</v>
      </c>
    </row>
    <row r="44" spans="1:8" x14ac:dyDescent="0.25">
      <c r="A44" s="11" t="s">
        <v>140</v>
      </c>
      <c r="B44" s="11">
        <v>0</v>
      </c>
      <c r="C44" s="11">
        <f>B44</f>
        <v>0</v>
      </c>
      <c r="D44" s="11">
        <f t="shared" ref="D44:H45" si="23">C44</f>
        <v>0</v>
      </c>
      <c r="E44" s="11">
        <f t="shared" si="23"/>
        <v>0</v>
      </c>
      <c r="F44" s="11">
        <f t="shared" si="23"/>
        <v>0</v>
      </c>
      <c r="G44" s="11">
        <f t="shared" si="23"/>
        <v>0</v>
      </c>
      <c r="H44" s="11">
        <f t="shared" si="23"/>
        <v>0</v>
      </c>
    </row>
    <row r="45" spans="1:8" x14ac:dyDescent="0.25">
      <c r="A45" s="11" t="s">
        <v>141</v>
      </c>
      <c r="B45" s="11">
        <v>2.2000000000000002</v>
      </c>
      <c r="C45" s="11">
        <f>B45</f>
        <v>2.2000000000000002</v>
      </c>
      <c r="D45" s="11">
        <f t="shared" si="23"/>
        <v>2.2000000000000002</v>
      </c>
      <c r="E45" s="11">
        <f t="shared" si="23"/>
        <v>2.2000000000000002</v>
      </c>
      <c r="F45" s="11">
        <f t="shared" si="23"/>
        <v>2.2000000000000002</v>
      </c>
      <c r="G45" s="11">
        <f t="shared" si="23"/>
        <v>2.2000000000000002</v>
      </c>
      <c r="H45" s="11">
        <f t="shared" si="23"/>
        <v>2.2000000000000002</v>
      </c>
    </row>
    <row r="46" spans="1:8" x14ac:dyDescent="0.25">
      <c r="A46" s="11" t="s">
        <v>142</v>
      </c>
      <c r="B46" s="11">
        <v>6.8</v>
      </c>
      <c r="C46" s="11"/>
      <c r="D46" s="11"/>
      <c r="E46" s="11"/>
      <c r="F46" s="11"/>
      <c r="G46" s="11"/>
      <c r="H46" s="11"/>
    </row>
    <row r="47" spans="1:8" x14ac:dyDescent="0.25">
      <c r="A47" s="11" t="s">
        <v>143</v>
      </c>
      <c r="B47" s="11">
        <v>1924.1</v>
      </c>
      <c r="C47" s="11">
        <f>B47*(1+Assumptions!$B$2)</f>
        <v>2308.9199999999996</v>
      </c>
      <c r="D47" s="11">
        <f>C47*(1+Assumptions!$B$2)</f>
        <v>2770.7039999999993</v>
      </c>
      <c r="E47" s="11">
        <f>D47*(1+Assumptions!$B$2)</f>
        <v>3324.8447999999989</v>
      </c>
      <c r="F47" s="11">
        <f>E47*(1+Assumptions!$B$2)</f>
        <v>3989.8137599999986</v>
      </c>
      <c r="G47" s="11">
        <f>F47*(1+Assumptions!$B$2)</f>
        <v>4787.7765119999985</v>
      </c>
      <c r="H47" s="11">
        <f>G47*(1+Assumptions!$B$2)</f>
        <v>5745.3318143999977</v>
      </c>
    </row>
    <row r="48" spans="1:8" x14ac:dyDescent="0.25">
      <c r="A48" s="11" t="s">
        <v>32</v>
      </c>
      <c r="B48" s="11">
        <v>2756.7</v>
      </c>
      <c r="C48" s="11">
        <f>B48*(1+Assumptions!$B$2)</f>
        <v>3308.0399999999995</v>
      </c>
      <c r="D48" s="11">
        <f>C48*(1+Assumptions!$B$2)</f>
        <v>3969.6479999999992</v>
      </c>
      <c r="E48" s="11">
        <f>D48*(1+Assumptions!$B$2)</f>
        <v>4763.5775999999987</v>
      </c>
      <c r="F48" s="11">
        <f>E48*(1+Assumptions!$B$2)</f>
        <v>5716.2931199999985</v>
      </c>
      <c r="G48" s="11">
        <f>F48*(1+Assumptions!$B$2)</f>
        <v>6859.5517439999976</v>
      </c>
      <c r="H48" s="11">
        <f>G48*(1+Assumptions!$B$2)</f>
        <v>8231.4620927999968</v>
      </c>
    </row>
    <row r="49" spans="1:8" s="7" customFormat="1" x14ac:dyDescent="0.25">
      <c r="A49" s="19" t="s">
        <v>33</v>
      </c>
      <c r="B49" s="11">
        <v>8655.9</v>
      </c>
      <c r="C49" s="11">
        <f>C48+C33</f>
        <v>10361.499999999998</v>
      </c>
      <c r="D49" s="11">
        <f t="shared" ref="D49:H49" si="24">D48+D33</f>
        <v>12419.019999999997</v>
      </c>
      <c r="E49" s="11">
        <f t="shared" si="24"/>
        <v>14888.043999999996</v>
      </c>
      <c r="F49" s="11">
        <f t="shared" si="24"/>
        <v>17850.872799999997</v>
      </c>
      <c r="G49" s="11">
        <f t="shared" si="24"/>
        <v>21406.267359999994</v>
      </c>
      <c r="H49" s="11">
        <f t="shared" si="24"/>
        <v>25672.740831999992</v>
      </c>
    </row>
    <row r="50" spans="1:8" x14ac:dyDescent="0.25">
      <c r="A50" s="44" t="s">
        <v>169</v>
      </c>
      <c r="B50" s="11">
        <v>12761.4</v>
      </c>
      <c r="C50" s="11">
        <f t="shared" ref="C50:H50" ca="1" si="25">C31-C49</f>
        <v>15441.024511305995</v>
      </c>
      <c r="D50" s="11">
        <f t="shared" ca="1" si="25"/>
        <v>18992.111885583196</v>
      </c>
      <c r="E50" s="11">
        <f t="shared" ca="1" si="25"/>
        <v>23256.964985456238</v>
      </c>
      <c r="F50" s="11">
        <f t="shared" ca="1" si="25"/>
        <v>28396.596587349821</v>
      </c>
      <c r="G50" s="11">
        <f t="shared" ca="1" si="25"/>
        <v>34601.233389644694</v>
      </c>
      <c r="H50" s="11">
        <f t="shared" ca="1" si="25"/>
        <v>42096.597298401539</v>
      </c>
    </row>
    <row r="51" spans="1:8" x14ac:dyDescent="0.25">
      <c r="A51" s="11" t="s">
        <v>152</v>
      </c>
      <c r="B51" s="11"/>
      <c r="C51" s="11">
        <f t="shared" ref="C51:H51" si="26">C22+C25+C27+C28+C30+C56+C55-C33-C48</f>
        <v>24354.652000000009</v>
      </c>
      <c r="D51" s="11">
        <f t="shared" si="26"/>
        <v>25025.972000000009</v>
      </c>
      <c r="E51" s="11">
        <f t="shared" si="26"/>
        <v>25721.79280000001</v>
      </c>
      <c r="F51" s="11">
        <f t="shared" si="26"/>
        <v>26439.833760000012</v>
      </c>
      <c r="G51" s="11">
        <f t="shared" si="26"/>
        <v>27178.158112000019</v>
      </c>
      <c r="H51" s="11">
        <f t="shared" si="26"/>
        <v>27935.24173440001</v>
      </c>
    </row>
    <row r="52" spans="1:8" x14ac:dyDescent="0.25">
      <c r="A52" s="11" t="s">
        <v>34</v>
      </c>
      <c r="B52" s="11">
        <v>0</v>
      </c>
      <c r="C52" s="11"/>
      <c r="D52" s="11"/>
      <c r="E52" s="11"/>
      <c r="F52" s="11"/>
      <c r="G52" s="11"/>
      <c r="H52" s="11"/>
    </row>
    <row r="53" spans="1:8" x14ac:dyDescent="0.25">
      <c r="A53" s="11" t="s">
        <v>35</v>
      </c>
      <c r="B53" s="11">
        <v>163.80000000000001</v>
      </c>
      <c r="C53" s="11"/>
      <c r="D53" s="11"/>
      <c r="E53" s="11"/>
      <c r="F53" s="11"/>
      <c r="G53" s="11"/>
      <c r="H53" s="11"/>
    </row>
    <row r="54" spans="1:8" x14ac:dyDescent="0.25">
      <c r="A54" s="11" t="s">
        <v>36</v>
      </c>
      <c r="B54" s="11">
        <v>137</v>
      </c>
      <c r="C54" s="11"/>
      <c r="D54" s="11"/>
      <c r="E54" s="11"/>
      <c r="F54" s="11"/>
      <c r="G54" s="11"/>
      <c r="H54" s="11"/>
    </row>
    <row r="55" spans="1:8" x14ac:dyDescent="0.25">
      <c r="A55" s="11" t="s">
        <v>37</v>
      </c>
      <c r="B55" s="11">
        <v>26.8</v>
      </c>
      <c r="C55" s="11">
        <f>B55</f>
        <v>26.8</v>
      </c>
      <c r="D55" s="11">
        <f t="shared" ref="D55:H56" si="27">C55</f>
        <v>26.8</v>
      </c>
      <c r="E55" s="11">
        <f t="shared" si="27"/>
        <v>26.8</v>
      </c>
      <c r="F55" s="11">
        <f t="shared" si="27"/>
        <v>26.8</v>
      </c>
      <c r="G55" s="11">
        <f t="shared" si="27"/>
        <v>26.8</v>
      </c>
      <c r="H55" s="11">
        <f t="shared" si="27"/>
        <v>26.8</v>
      </c>
    </row>
    <row r="56" spans="1:8" x14ac:dyDescent="0.25">
      <c r="A56" s="11" t="s">
        <v>38</v>
      </c>
      <c r="B56" s="11">
        <v>1859.8</v>
      </c>
      <c r="C56" s="11">
        <f>B56</f>
        <v>1859.8</v>
      </c>
      <c r="D56" s="11">
        <f t="shared" si="27"/>
        <v>1859.8</v>
      </c>
      <c r="E56" s="11">
        <f t="shared" si="27"/>
        <v>1859.8</v>
      </c>
      <c r="F56" s="11">
        <f t="shared" si="27"/>
        <v>1859.8</v>
      </c>
      <c r="G56" s="11">
        <f t="shared" si="27"/>
        <v>1859.8</v>
      </c>
      <c r="H56" s="11">
        <f t="shared" si="27"/>
        <v>1859.8</v>
      </c>
    </row>
    <row r="57" spans="1:8" s="47" customFormat="1" x14ac:dyDescent="0.25">
      <c r="A57" s="71" t="s">
        <v>195</v>
      </c>
      <c r="B57" s="71">
        <v>29934.2</v>
      </c>
      <c r="C57" s="71">
        <f t="shared" ref="C57:H57" ca="1" si="28">C56+C55+C50+C25+C23+C22</f>
        <v>32722.256511305997</v>
      </c>
      <c r="D57" s="71">
        <f t="shared" ca="1" si="28"/>
        <v>36401.679885583195</v>
      </c>
      <c r="E57" s="71">
        <f t="shared" ca="1" si="28"/>
        <v>40810.772985456235</v>
      </c>
      <c r="F57" s="71">
        <f t="shared" ca="1" si="28"/>
        <v>46106.548587349826</v>
      </c>
      <c r="G57" s="71">
        <f t="shared" ca="1" si="28"/>
        <v>52475.233389644702</v>
      </c>
      <c r="H57" s="71">
        <f t="shared" ca="1" si="28"/>
        <v>60138.549298401544</v>
      </c>
    </row>
    <row r="58" spans="1:8" x14ac:dyDescent="0.25">
      <c r="A58" s="11" t="s">
        <v>39</v>
      </c>
      <c r="B58" s="11">
        <v>2695.7</v>
      </c>
      <c r="C58" s="11"/>
      <c r="D58" s="11"/>
      <c r="E58" s="11"/>
      <c r="F58" s="11"/>
      <c r="G58" s="11"/>
      <c r="H58" s="11"/>
    </row>
    <row r="59" spans="1:8" x14ac:dyDescent="0.25">
      <c r="A59" s="11" t="s">
        <v>194</v>
      </c>
      <c r="B59" s="11">
        <f t="shared" ref="B59:H59" si="29">B57-B17</f>
        <v>0</v>
      </c>
      <c r="C59" s="11">
        <f t="shared" ca="1" si="29"/>
        <v>0</v>
      </c>
      <c r="D59" s="11">
        <f t="shared" ca="1" si="29"/>
        <v>0</v>
      </c>
      <c r="E59" s="11">
        <f t="shared" ca="1" si="29"/>
        <v>0</v>
      </c>
      <c r="F59" s="11">
        <f t="shared" ca="1" si="29"/>
        <v>0</v>
      </c>
      <c r="G59" s="11">
        <f t="shared" ca="1" si="29"/>
        <v>0</v>
      </c>
      <c r="H59" s="11">
        <f t="shared" ca="1" si="29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selection activeCell="O13" sqref="O13"/>
    </sheetView>
  </sheetViews>
  <sheetFormatPr defaultRowHeight="15" x14ac:dyDescent="0.25"/>
  <cols>
    <col min="1" max="1" width="19.7109375" customWidth="1"/>
    <col min="2" max="2" width="39.28515625" bestFit="1" customWidth="1"/>
    <col min="3" max="11" width="10.7109375" hidden="1" customWidth="1"/>
    <col min="12" max="12" width="10.7109375" bestFit="1" customWidth="1"/>
    <col min="13" max="18" width="9.140625" style="25"/>
  </cols>
  <sheetData>
    <row r="1" spans="1:18" x14ac:dyDescent="0.25">
      <c r="B1" t="s">
        <v>40</v>
      </c>
    </row>
    <row r="2" spans="1:18" x14ac:dyDescent="0.25">
      <c r="B2" s="1" t="s">
        <v>1</v>
      </c>
    </row>
    <row r="3" spans="1:18" x14ac:dyDescent="0.25">
      <c r="B3" s="2"/>
    </row>
    <row r="4" spans="1:18" x14ac:dyDescent="0.25">
      <c r="B4" s="1" t="s">
        <v>2</v>
      </c>
    </row>
    <row r="5" spans="1:18" x14ac:dyDescent="0.25">
      <c r="B5" s="3" t="s">
        <v>3</v>
      </c>
    </row>
    <row r="6" spans="1:18" x14ac:dyDescent="0.25">
      <c r="B6" s="48" t="s">
        <v>4</v>
      </c>
      <c r="C6" s="50" t="s">
        <v>41</v>
      </c>
      <c r="D6" s="50" t="s">
        <v>42</v>
      </c>
      <c r="E6" s="50" t="s">
        <v>43</v>
      </c>
      <c r="F6" s="50" t="s">
        <v>44</v>
      </c>
      <c r="G6" s="50" t="s">
        <v>45</v>
      </c>
      <c r="H6" s="50" t="s">
        <v>46</v>
      </c>
      <c r="I6" s="50" t="s">
        <v>47</v>
      </c>
      <c r="J6" s="50" t="s">
        <v>48</v>
      </c>
      <c r="K6" s="50" t="s">
        <v>49</v>
      </c>
      <c r="L6" s="59" t="s">
        <v>41</v>
      </c>
      <c r="M6" s="60" t="s">
        <v>88</v>
      </c>
      <c r="N6" s="61">
        <v>2014</v>
      </c>
      <c r="O6" s="61">
        <v>2015</v>
      </c>
      <c r="P6" s="61">
        <v>2016</v>
      </c>
      <c r="Q6" s="61">
        <v>2017</v>
      </c>
      <c r="R6" s="61">
        <v>2018</v>
      </c>
    </row>
    <row r="7" spans="1:18" x14ac:dyDescent="0.25">
      <c r="B7" s="11" t="s">
        <v>50</v>
      </c>
      <c r="C7" s="12"/>
      <c r="D7" s="12"/>
      <c r="E7" s="12"/>
      <c r="F7" s="12"/>
      <c r="G7" s="12"/>
      <c r="H7" s="12"/>
      <c r="I7" s="12"/>
      <c r="J7" s="12"/>
      <c r="K7" s="12"/>
      <c r="L7" s="62"/>
      <c r="M7" s="63"/>
      <c r="N7" s="63"/>
      <c r="O7" s="63"/>
      <c r="P7" s="63"/>
      <c r="Q7" s="63"/>
      <c r="R7" s="63"/>
    </row>
    <row r="8" spans="1:18" x14ac:dyDescent="0.25">
      <c r="A8" t="s">
        <v>92</v>
      </c>
      <c r="B8" s="11" t="s">
        <v>51</v>
      </c>
      <c r="C8" s="13">
        <v>31803.4</v>
      </c>
      <c r="D8" s="13">
        <v>26401.200000000001</v>
      </c>
      <c r="E8" s="13">
        <v>23006.3</v>
      </c>
      <c r="F8" s="13">
        <v>21612.799999999999</v>
      </c>
      <c r="G8" s="13">
        <v>17658.099999999999</v>
      </c>
      <c r="H8" s="13">
        <v>13758.5</v>
      </c>
      <c r="I8" s="13">
        <v>10264.09</v>
      </c>
      <c r="J8" s="13">
        <v>7276.18</v>
      </c>
      <c r="K8" s="13">
        <v>5188.1899999999996</v>
      </c>
      <c r="L8" s="64">
        <v>31803.4</v>
      </c>
      <c r="M8" s="65">
        <f>L8*(1+ Assumptions!$B$2)</f>
        <v>38164.080000000002</v>
      </c>
      <c r="N8" s="65">
        <f>M8*(1+ Assumptions!$B$2)</f>
        <v>45796.896000000001</v>
      </c>
      <c r="O8" s="65">
        <f>N8*(1+ Assumptions!$B$2)</f>
        <v>54956.275199999996</v>
      </c>
      <c r="P8" s="65">
        <f>O8*(1+ Assumptions!$B$2)</f>
        <v>65947.530239999993</v>
      </c>
      <c r="Q8" s="65">
        <f>P8*(1+ Assumptions!$B$2)</f>
        <v>79137.036287999988</v>
      </c>
      <c r="R8" s="65">
        <f>Q8*(1+ Assumptions!$B$2)</f>
        <v>94964.443545599977</v>
      </c>
    </row>
    <row r="9" spans="1:18" x14ac:dyDescent="0.25">
      <c r="B9" s="11" t="s">
        <v>52</v>
      </c>
      <c r="C9" s="12">
        <v>120.5</v>
      </c>
      <c r="D9" s="12">
        <v>100.7</v>
      </c>
      <c r="E9" s="12">
        <v>84.3</v>
      </c>
      <c r="F9" s="12">
        <v>105.5</v>
      </c>
      <c r="G9" s="12">
        <v>165.5</v>
      </c>
      <c r="H9" s="12">
        <v>74.599999999999994</v>
      </c>
      <c r="I9" s="12">
        <v>36.97</v>
      </c>
      <c r="J9" s="12">
        <v>43.02</v>
      </c>
      <c r="K9" s="12">
        <v>55.51</v>
      </c>
      <c r="L9" s="62">
        <v>120.5</v>
      </c>
      <c r="M9" s="65">
        <f>M8*Assumptions!$B$3</f>
        <v>145.023504</v>
      </c>
      <c r="N9" s="65">
        <f>N8*Assumptions!$B$3</f>
        <v>174.0282048</v>
      </c>
      <c r="O9" s="65">
        <f>O8*Assumptions!$B$3</f>
        <v>208.83384575999997</v>
      </c>
      <c r="P9" s="65">
        <f>P8*Assumptions!$B$3</f>
        <v>250.60061491199997</v>
      </c>
      <c r="Q9" s="65">
        <f>Q8*Assumptions!$B$3</f>
        <v>300.72073789439997</v>
      </c>
      <c r="R9" s="65">
        <f>R8*Assumptions!$B$3</f>
        <v>360.86488547327991</v>
      </c>
    </row>
    <row r="10" spans="1:18" x14ac:dyDescent="0.25">
      <c r="A10" t="s">
        <v>93</v>
      </c>
      <c r="B10" s="11" t="s">
        <v>53</v>
      </c>
      <c r="C10" s="13">
        <v>31682.9</v>
      </c>
      <c r="D10" s="13">
        <v>26300.5</v>
      </c>
      <c r="E10" s="13">
        <v>22922</v>
      </c>
      <c r="F10" s="13">
        <v>21507.3</v>
      </c>
      <c r="G10" s="13">
        <v>17492.599999999999</v>
      </c>
      <c r="H10" s="13">
        <v>13683.9</v>
      </c>
      <c r="I10" s="13">
        <v>10227.120000000001</v>
      </c>
      <c r="J10" s="13">
        <v>7233.16</v>
      </c>
      <c r="K10" s="13">
        <v>5132.68</v>
      </c>
      <c r="L10" s="64">
        <v>31682.9</v>
      </c>
      <c r="M10" s="65">
        <f t="shared" ref="M10:R10" si="0">M8-M9</f>
        <v>38019.056496000005</v>
      </c>
      <c r="N10" s="65">
        <f t="shared" si="0"/>
        <v>45622.8677952</v>
      </c>
      <c r="O10" s="65">
        <f t="shared" si="0"/>
        <v>54747.44135424</v>
      </c>
      <c r="P10" s="65">
        <f t="shared" si="0"/>
        <v>65696.929625088</v>
      </c>
      <c r="Q10" s="65">
        <f t="shared" si="0"/>
        <v>78836.315550105588</v>
      </c>
      <c r="R10" s="65">
        <f t="shared" si="0"/>
        <v>94603.578660126703</v>
      </c>
    </row>
    <row r="11" spans="1:18" x14ac:dyDescent="0.25">
      <c r="B11" s="11" t="s">
        <v>54</v>
      </c>
      <c r="C11" s="13">
        <v>1227.4000000000001</v>
      </c>
      <c r="D11" s="12">
        <v>680.7</v>
      </c>
      <c r="E11" s="12">
        <v>866.7</v>
      </c>
      <c r="F11" s="12">
        <v>537.79999999999995</v>
      </c>
      <c r="G11" s="12">
        <v>421.5</v>
      </c>
      <c r="H11" s="12">
        <v>288.7</v>
      </c>
      <c r="I11" s="12">
        <v>152.41</v>
      </c>
      <c r="J11" s="12">
        <v>93.53</v>
      </c>
      <c r="K11" s="12">
        <v>126.99</v>
      </c>
      <c r="L11" s="64">
        <v>1227.4000000000001</v>
      </c>
      <c r="M11" s="65">
        <v>1000</v>
      </c>
      <c r="N11" s="65">
        <v>1000</v>
      </c>
      <c r="O11" s="65">
        <v>1000</v>
      </c>
      <c r="P11" s="65">
        <v>1000</v>
      </c>
      <c r="Q11" s="65">
        <v>1000</v>
      </c>
      <c r="R11" s="65">
        <v>1000</v>
      </c>
    </row>
    <row r="12" spans="1:18" x14ac:dyDescent="0.25">
      <c r="B12" s="11" t="s">
        <v>55</v>
      </c>
      <c r="C12" s="12">
        <v>-44.9</v>
      </c>
      <c r="D12" s="12">
        <v>31.6</v>
      </c>
      <c r="E12" s="12">
        <v>111</v>
      </c>
      <c r="F12" s="12">
        <v>-3.8</v>
      </c>
      <c r="G12" s="12">
        <v>27.2</v>
      </c>
      <c r="H12" s="12">
        <v>80</v>
      </c>
      <c r="I12" s="12">
        <v>24.21</v>
      </c>
      <c r="J12" s="12">
        <v>9.2899999999999991</v>
      </c>
      <c r="K12" s="12">
        <v>11.79</v>
      </c>
      <c r="L12" s="62">
        <v>-44.9</v>
      </c>
      <c r="M12" s="65">
        <f>L12</f>
        <v>-44.9</v>
      </c>
      <c r="N12" s="65">
        <f t="shared" ref="N12:R12" si="1">M12</f>
        <v>-44.9</v>
      </c>
      <c r="O12" s="65">
        <f t="shared" si="1"/>
        <v>-44.9</v>
      </c>
      <c r="P12" s="65">
        <f t="shared" si="1"/>
        <v>-44.9</v>
      </c>
      <c r="Q12" s="65">
        <f>P12</f>
        <v>-44.9</v>
      </c>
      <c r="R12" s="65">
        <f t="shared" si="1"/>
        <v>-44.9</v>
      </c>
    </row>
    <row r="13" spans="1:18" x14ac:dyDescent="0.25">
      <c r="B13" s="11" t="s">
        <v>56</v>
      </c>
      <c r="C13" s="14">
        <v>32865.4</v>
      </c>
      <c r="D13" s="14">
        <v>27012.799999999999</v>
      </c>
      <c r="E13" s="14">
        <v>23899.7</v>
      </c>
      <c r="F13" s="14">
        <v>22041.3</v>
      </c>
      <c r="G13" s="14">
        <v>17941.3</v>
      </c>
      <c r="H13" s="14">
        <v>14052.6</v>
      </c>
      <c r="I13" s="14">
        <v>10403.74</v>
      </c>
      <c r="J13" s="14">
        <v>7335.98</v>
      </c>
      <c r="K13" s="14">
        <v>5271.46</v>
      </c>
      <c r="L13" s="67">
        <v>32865.4</v>
      </c>
      <c r="M13" s="65">
        <f>SUM(M10:M12)</f>
        <v>38974.156496000003</v>
      </c>
      <c r="N13" s="65">
        <f t="shared" ref="N13:R13" si="2">SUM(N10:N12)</f>
        <v>46577.967795199998</v>
      </c>
      <c r="O13" s="65">
        <f t="shared" si="2"/>
        <v>55702.541354239998</v>
      </c>
      <c r="P13" s="65">
        <f t="shared" si="2"/>
        <v>66652.029625088006</v>
      </c>
      <c r="Q13" s="65">
        <f>SUM(Q10:Q12)</f>
        <v>79791.415550105594</v>
      </c>
      <c r="R13" s="65">
        <f t="shared" si="2"/>
        <v>95558.678660126709</v>
      </c>
    </row>
    <row r="14" spans="1:18" x14ac:dyDescent="0.25">
      <c r="B14" s="11" t="s">
        <v>57</v>
      </c>
      <c r="C14" s="12"/>
      <c r="D14" s="12"/>
      <c r="E14" s="12"/>
      <c r="F14" s="12"/>
      <c r="G14" s="12"/>
      <c r="H14" s="12"/>
      <c r="I14" s="12"/>
      <c r="J14" s="12"/>
      <c r="K14" s="12"/>
      <c r="L14" s="62"/>
      <c r="M14" s="63"/>
      <c r="N14" s="63"/>
      <c r="O14" s="63"/>
      <c r="P14" s="63"/>
      <c r="Q14" s="63"/>
      <c r="R14" s="63"/>
    </row>
    <row r="15" spans="1:18" x14ac:dyDescent="0.25">
      <c r="B15" s="11" t="s">
        <v>58</v>
      </c>
      <c r="C15" s="13">
        <v>4656.1000000000004</v>
      </c>
      <c r="D15" s="13">
        <v>3782.9</v>
      </c>
      <c r="E15" s="13">
        <v>3730.4</v>
      </c>
      <c r="F15" s="13">
        <v>3403.7</v>
      </c>
      <c r="G15" s="13">
        <v>2979.5</v>
      </c>
      <c r="H15" s="13">
        <v>1969</v>
      </c>
      <c r="I15" s="13">
        <v>1350.69</v>
      </c>
      <c r="J15" s="13">
        <v>1119.8499999999999</v>
      </c>
      <c r="K15" s="12">
        <v>832.66</v>
      </c>
      <c r="L15" s="64">
        <v>4656.1000000000004</v>
      </c>
      <c r="M15" s="66">
        <f>M8*Assumptions!$B$4</f>
        <v>5724.6120000000001</v>
      </c>
      <c r="N15" s="66">
        <f>N8*Assumptions!$B$4</f>
        <v>6869.5343999999996</v>
      </c>
      <c r="O15" s="66">
        <f>O8*Assumptions!$B$4</f>
        <v>8243.4412799999991</v>
      </c>
      <c r="P15" s="66">
        <f>P8*Assumptions!$B$4</f>
        <v>9892.1295359999986</v>
      </c>
      <c r="Q15" s="66">
        <f>Q8*Assumptions!$B$4</f>
        <v>11870.555443199997</v>
      </c>
      <c r="R15" s="66">
        <f>R8*Assumptions!$B$4</f>
        <v>14244.666531839996</v>
      </c>
    </row>
    <row r="16" spans="1:18" x14ac:dyDescent="0.25">
      <c r="B16" s="11" t="s">
        <v>59</v>
      </c>
      <c r="C16" s="13">
        <v>3777</v>
      </c>
      <c r="D16" s="13">
        <v>2790.2</v>
      </c>
      <c r="E16" s="13">
        <v>2617.6</v>
      </c>
      <c r="F16" s="13">
        <v>1869.8</v>
      </c>
      <c r="G16" s="13">
        <v>1584.3</v>
      </c>
      <c r="H16" s="13">
        <v>1132</v>
      </c>
      <c r="I16" s="12">
        <v>847.16</v>
      </c>
      <c r="J16" s="12">
        <v>479.26</v>
      </c>
      <c r="K16" s="12">
        <v>360.39</v>
      </c>
      <c r="L16" s="64">
        <v>3777</v>
      </c>
      <c r="M16" s="63"/>
      <c r="N16" s="63"/>
      <c r="O16" s="63"/>
      <c r="P16" s="63"/>
      <c r="Q16" s="63"/>
      <c r="R16" s="63"/>
    </row>
    <row r="17" spans="1:18" x14ac:dyDescent="0.25">
      <c r="B17" s="11" t="s">
        <v>60</v>
      </c>
      <c r="C17" s="13">
        <v>13311.5</v>
      </c>
      <c r="D17" s="13">
        <v>10937.4</v>
      </c>
      <c r="E17" s="13">
        <v>9093.7999999999993</v>
      </c>
      <c r="F17" s="13">
        <v>9282.6</v>
      </c>
      <c r="G17" s="13">
        <v>7409.1</v>
      </c>
      <c r="H17" s="13">
        <v>5768.1</v>
      </c>
      <c r="I17" s="13">
        <v>4271.5200000000004</v>
      </c>
      <c r="J17" s="13">
        <v>3011.16</v>
      </c>
      <c r="K17" s="13">
        <v>2088.64</v>
      </c>
      <c r="L17" s="64">
        <v>13311.5</v>
      </c>
      <c r="M17" s="63"/>
      <c r="N17" s="63"/>
      <c r="O17" s="63"/>
      <c r="P17" s="63"/>
      <c r="Q17" s="63"/>
      <c r="R17" s="63"/>
    </row>
    <row r="18" spans="1:18" x14ac:dyDescent="0.25">
      <c r="B18" s="11" t="s">
        <v>61</v>
      </c>
      <c r="C18" s="12">
        <v>233.4</v>
      </c>
      <c r="D18" s="12">
        <v>200.5</v>
      </c>
      <c r="E18" s="12">
        <v>141.4</v>
      </c>
      <c r="F18" s="12">
        <v>154</v>
      </c>
      <c r="G18" s="12">
        <v>135.19999999999999</v>
      </c>
      <c r="H18" s="12">
        <v>98.1</v>
      </c>
      <c r="I18" s="12">
        <v>86.46</v>
      </c>
      <c r="J18" s="12">
        <v>46.63</v>
      </c>
      <c r="K18" s="12">
        <v>35.909999999999997</v>
      </c>
      <c r="L18" s="62">
        <v>233.4</v>
      </c>
      <c r="M18" s="63"/>
      <c r="N18" s="63"/>
      <c r="O18" s="63"/>
      <c r="P18" s="63"/>
      <c r="Q18" s="63"/>
      <c r="R18" s="63"/>
    </row>
    <row r="19" spans="1:18" x14ac:dyDescent="0.25">
      <c r="B19" s="11" t="s">
        <v>62</v>
      </c>
      <c r="C19" s="13">
        <v>2400.1999999999998</v>
      </c>
      <c r="D19" s="13">
        <v>1991.4</v>
      </c>
      <c r="E19" s="13">
        <v>1746.7</v>
      </c>
      <c r="F19" s="13">
        <v>1749.2</v>
      </c>
      <c r="G19" s="13">
        <v>1369.1</v>
      </c>
      <c r="H19" s="13">
        <v>1253.7</v>
      </c>
      <c r="I19" s="12">
        <v>997.23</v>
      </c>
      <c r="J19" s="12">
        <v>601.24</v>
      </c>
      <c r="K19" s="12">
        <v>640.4</v>
      </c>
      <c r="L19" s="64">
        <v>2400.1999999999998</v>
      </c>
      <c r="M19" s="63"/>
      <c r="N19" s="63"/>
      <c r="O19" s="63"/>
      <c r="P19" s="63"/>
      <c r="Q19" s="63"/>
      <c r="R19" s="63"/>
    </row>
    <row r="20" spans="1:18" x14ac:dyDescent="0.25">
      <c r="B20" s="11" t="s">
        <v>63</v>
      </c>
      <c r="C20" s="13">
        <v>1216.8</v>
      </c>
      <c r="D20" s="12">
        <v>868.8</v>
      </c>
      <c r="E20" s="12">
        <v>201.6</v>
      </c>
      <c r="F20" s="13">
        <v>1303.7</v>
      </c>
      <c r="G20" s="12">
        <v>421.5</v>
      </c>
      <c r="H20" s="12">
        <v>288.5</v>
      </c>
      <c r="I20" s="12">
        <v>215.61</v>
      </c>
      <c r="J20" s="12">
        <v>130.12</v>
      </c>
      <c r="K20" s="12">
        <v>90.39</v>
      </c>
      <c r="L20" s="64">
        <v>1216.8</v>
      </c>
      <c r="M20" s="63"/>
      <c r="N20" s="63"/>
      <c r="O20" s="63"/>
      <c r="P20" s="63"/>
      <c r="Q20" s="63"/>
      <c r="R20" s="63"/>
    </row>
    <row r="21" spans="1:18" x14ac:dyDescent="0.25">
      <c r="B21" s="11" t="s">
        <v>64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14</v>
      </c>
      <c r="L21" s="62">
        <v>0</v>
      </c>
      <c r="M21" s="63"/>
      <c r="N21" s="63"/>
      <c r="O21" s="63"/>
      <c r="P21" s="63"/>
      <c r="Q21" s="63"/>
      <c r="R21" s="63"/>
    </row>
    <row r="22" spans="1:18" x14ac:dyDescent="0.25">
      <c r="B22" s="11" t="s">
        <v>65</v>
      </c>
      <c r="C22" s="13">
        <v>25595</v>
      </c>
      <c r="D22" s="13">
        <v>20571.2</v>
      </c>
      <c r="E22" s="13">
        <v>17531.5</v>
      </c>
      <c r="F22" s="13">
        <v>17763</v>
      </c>
      <c r="G22" s="13">
        <v>13898.7</v>
      </c>
      <c r="H22" s="13">
        <v>10509.4</v>
      </c>
      <c r="I22" s="13">
        <v>7768.67</v>
      </c>
      <c r="J22" s="13">
        <v>5388.26</v>
      </c>
      <c r="K22" s="13">
        <v>4034.39</v>
      </c>
      <c r="L22" s="64">
        <v>25595</v>
      </c>
      <c r="M22" s="63">
        <f>M8*Assumptions!$B$5</f>
        <v>29767.982400000001</v>
      </c>
      <c r="N22" s="63">
        <f>N8*Assumptions!$B$5</f>
        <v>35721.578880000001</v>
      </c>
      <c r="O22" s="63">
        <f>O8*Assumptions!$B$5</f>
        <v>42865.894655999997</v>
      </c>
      <c r="P22" s="63">
        <f>P8*Assumptions!$B$5</f>
        <v>51439.073587199993</v>
      </c>
      <c r="Q22" s="63">
        <f>Q8*Assumptions!$B$5</f>
        <v>61726.888304639993</v>
      </c>
      <c r="R22" s="63">
        <f>R8*Assumptions!$B$5</f>
        <v>74072.265965567989</v>
      </c>
    </row>
    <row r="23" spans="1:18" x14ac:dyDescent="0.25">
      <c r="A23" t="s">
        <v>91</v>
      </c>
      <c r="B23" s="11" t="s">
        <v>66</v>
      </c>
      <c r="C23" s="13">
        <v>7270.4</v>
      </c>
      <c r="D23" s="13">
        <v>6441.6</v>
      </c>
      <c r="E23" s="13">
        <v>6368.2</v>
      </c>
      <c r="F23" s="13">
        <v>4278.3</v>
      </c>
      <c r="G23" s="13">
        <v>4042.6</v>
      </c>
      <c r="H23" s="13">
        <v>3543.2</v>
      </c>
      <c r="I23" s="13">
        <v>2635.07</v>
      </c>
      <c r="J23" s="13">
        <v>1947.72</v>
      </c>
      <c r="K23" s="13">
        <v>1237.07</v>
      </c>
      <c r="L23" s="64">
        <v>7270.4</v>
      </c>
      <c r="M23" s="65">
        <f t="shared" ref="M23:R23" si="3">M10-M22</f>
        <v>8251.0740960000039</v>
      </c>
      <c r="N23" s="65">
        <f t="shared" si="3"/>
        <v>9901.2889151999989</v>
      </c>
      <c r="O23" s="65">
        <f t="shared" si="3"/>
        <v>11881.546698240003</v>
      </c>
      <c r="P23" s="65">
        <f t="shared" si="3"/>
        <v>14257.856037888007</v>
      </c>
      <c r="Q23" s="65">
        <f t="shared" si="3"/>
        <v>17109.427245465595</v>
      </c>
      <c r="R23" s="65">
        <f t="shared" si="3"/>
        <v>20531.312694558714</v>
      </c>
    </row>
    <row r="24" spans="1:18" x14ac:dyDescent="0.25">
      <c r="B24" s="11" t="s">
        <v>67</v>
      </c>
      <c r="C24" s="12">
        <v>605.70000000000005</v>
      </c>
      <c r="D24" s="12">
        <v>136</v>
      </c>
      <c r="E24" s="12">
        <v>99.8</v>
      </c>
      <c r="F24" s="12">
        <v>196.8</v>
      </c>
      <c r="G24" s="12">
        <v>116.8</v>
      </c>
      <c r="H24" s="12">
        <v>7.2</v>
      </c>
      <c r="I24" s="12">
        <v>3.13</v>
      </c>
      <c r="J24" s="12">
        <v>5.57</v>
      </c>
      <c r="K24" s="12">
        <v>3.52</v>
      </c>
      <c r="L24" s="62">
        <v>605.70000000000005</v>
      </c>
      <c r="M24" s="63">
        <f ca="1">'Int from Debt'!C12</f>
        <v>1068.7134999999998</v>
      </c>
      <c r="N24" s="63">
        <f ca="1">'Int from Debt'!D12</f>
        <v>1256.5782999999997</v>
      </c>
      <c r="O24" s="63">
        <f ca="1">'Int from Debt'!E12</f>
        <v>1491.7660599999995</v>
      </c>
      <c r="P24" s="63">
        <f ca="1">'Int from Debt'!F12</f>
        <v>1783.741372</v>
      </c>
      <c r="Q24" s="63">
        <f ca="1">'Int from Debt'!G12</f>
        <v>2143.8617463999994</v>
      </c>
      <c r="R24" s="63">
        <f ca="1">'Int from Debt'!H12</f>
        <v>2585.7561956799991</v>
      </c>
    </row>
    <row r="25" spans="1:18" x14ac:dyDescent="0.25">
      <c r="B25" s="11" t="s">
        <v>68</v>
      </c>
      <c r="C25" s="13">
        <v>6664.7</v>
      </c>
      <c r="D25" s="13">
        <v>6305.6</v>
      </c>
      <c r="E25" s="13">
        <v>6268.4</v>
      </c>
      <c r="F25" s="13">
        <v>4081.5</v>
      </c>
      <c r="G25" s="13">
        <v>3925.8</v>
      </c>
      <c r="H25" s="13">
        <v>3536</v>
      </c>
      <c r="I25" s="13">
        <v>2631.94</v>
      </c>
      <c r="J25" s="13">
        <v>1942.15</v>
      </c>
      <c r="K25" s="13">
        <v>1233.55</v>
      </c>
      <c r="L25" s="64">
        <v>6664.7</v>
      </c>
      <c r="M25" s="65">
        <f ca="1">M23-M24</f>
        <v>7182.3605960000041</v>
      </c>
      <c r="N25" s="65">
        <f t="shared" ref="N25:R25" ca="1" si="4">N23-N24</f>
        <v>8644.7106151999997</v>
      </c>
      <c r="O25" s="65">
        <f t="shared" ca="1" si="4"/>
        <v>10389.780638240003</v>
      </c>
      <c r="P25" s="65">
        <f t="shared" ca="1" si="4"/>
        <v>12474.114665888006</v>
      </c>
      <c r="Q25" s="65">
        <f t="shared" ca="1" si="4"/>
        <v>14965.565499065595</v>
      </c>
      <c r="R25" s="65">
        <f t="shared" ca="1" si="4"/>
        <v>17945.556498878716</v>
      </c>
    </row>
    <row r="26" spans="1:18" x14ac:dyDescent="0.25">
      <c r="B26" s="11" t="s">
        <v>69</v>
      </c>
      <c r="C26" s="12">
        <v>746.1</v>
      </c>
      <c r="D26" s="12">
        <v>600.1</v>
      </c>
      <c r="E26" s="12">
        <v>579.6</v>
      </c>
      <c r="F26" s="12">
        <v>533.6</v>
      </c>
      <c r="G26" s="12">
        <v>456.1</v>
      </c>
      <c r="H26" s="12">
        <v>359.8</v>
      </c>
      <c r="I26" s="12">
        <v>292.26</v>
      </c>
      <c r="J26" s="12">
        <v>185.97</v>
      </c>
      <c r="K26" s="12">
        <v>151.6</v>
      </c>
      <c r="L26" s="62">
        <v>746.1</v>
      </c>
      <c r="M26" s="63">
        <f>Depn!C9</f>
        <v>742.76800000000003</v>
      </c>
      <c r="N26" s="63">
        <f>Depn!D9</f>
        <v>772.86400000000015</v>
      </c>
      <c r="O26" s="63">
        <f>Depn!E9</f>
        <v>806.96000000000015</v>
      </c>
      <c r="P26" s="63">
        <f>Depn!F9</f>
        <v>845.05600000000027</v>
      </c>
      <c r="Q26" s="63">
        <f>Depn!G9</f>
        <v>887.15200000000027</v>
      </c>
      <c r="R26" s="63">
        <f>Depn!H9</f>
        <v>933.24800000000039</v>
      </c>
    </row>
    <row r="27" spans="1:18" x14ac:dyDescent="0.25">
      <c r="B27" s="11" t="s">
        <v>70</v>
      </c>
      <c r="C27" s="13">
        <v>5918.6</v>
      </c>
      <c r="D27" s="13">
        <v>5705.5</v>
      </c>
      <c r="E27" s="13">
        <v>5688.8</v>
      </c>
      <c r="F27" s="13">
        <v>3547.9</v>
      </c>
      <c r="G27" s="13">
        <v>3469.7</v>
      </c>
      <c r="H27" s="13">
        <v>3176.2</v>
      </c>
      <c r="I27" s="13">
        <v>2339.6799999999998</v>
      </c>
      <c r="J27" s="13">
        <v>1756.18</v>
      </c>
      <c r="K27" s="13">
        <v>1081.95</v>
      </c>
      <c r="L27" s="64">
        <v>5918.6</v>
      </c>
      <c r="M27" s="65">
        <f ca="1">M25-M26</f>
        <v>6439.5925960000041</v>
      </c>
      <c r="N27" s="65">
        <f t="shared" ref="N27:R27" ca="1" si="5">N25-N26</f>
        <v>7871.8466151999992</v>
      </c>
      <c r="O27" s="65">
        <f t="shared" ca="1" si="5"/>
        <v>9582.8206382400022</v>
      </c>
      <c r="P27" s="65">
        <f t="shared" ca="1" si="5"/>
        <v>11629.058665888006</v>
      </c>
      <c r="Q27" s="65">
        <f t="shared" ca="1" si="5"/>
        <v>14078.413499065595</v>
      </c>
      <c r="R27" s="65">
        <f t="shared" ca="1" si="5"/>
        <v>17012.308498878716</v>
      </c>
    </row>
    <row r="28" spans="1:18" x14ac:dyDescent="0.25">
      <c r="B28" s="11" t="s">
        <v>71</v>
      </c>
      <c r="C28" s="13">
        <v>1249.5</v>
      </c>
      <c r="D28" s="12">
        <v>837.8</v>
      </c>
      <c r="E28" s="12">
        <v>767.9</v>
      </c>
      <c r="F28" s="12">
        <v>539.5</v>
      </c>
      <c r="G28" s="12">
        <v>382.1</v>
      </c>
      <c r="H28" s="12">
        <v>317.5</v>
      </c>
      <c r="I28" s="12">
        <v>290.14999999999998</v>
      </c>
      <c r="J28" s="12">
        <v>261.06</v>
      </c>
      <c r="K28" s="12">
        <v>159.91999999999999</v>
      </c>
      <c r="L28" s="64">
        <v>1249.5</v>
      </c>
      <c r="M28" s="63">
        <f ca="1">Tax!B6</f>
        <v>1971.6846086000012</v>
      </c>
      <c r="N28" s="63">
        <f ca="1">Tax!C6</f>
        <v>2539.3489713199997</v>
      </c>
      <c r="O28" s="63">
        <f ca="1">Tax!D6</f>
        <v>3192.8306384240009</v>
      </c>
      <c r="P28" s="63">
        <f ca="1">Tax!E6</f>
        <v>3954.0215616944015</v>
      </c>
      <c r="Q28" s="63">
        <f ca="1">Tax!F6</f>
        <v>4848.4355247251815</v>
      </c>
      <c r="R28" s="63">
        <f ca="1">Tax!G6</f>
        <v>5906.0535586514188</v>
      </c>
    </row>
    <row r="29" spans="1:18" x14ac:dyDescent="0.25">
      <c r="B29" s="11" t="s">
        <v>72</v>
      </c>
      <c r="C29" s="12">
        <v>0</v>
      </c>
      <c r="D29" s="12">
        <v>0</v>
      </c>
      <c r="E29" s="12">
        <v>0</v>
      </c>
      <c r="F29" s="12">
        <v>40.6</v>
      </c>
      <c r="G29" s="12">
        <v>29.4</v>
      </c>
      <c r="H29" s="12">
        <v>23.9</v>
      </c>
      <c r="I29" s="12">
        <v>22.77</v>
      </c>
      <c r="J29" s="12">
        <v>0</v>
      </c>
      <c r="K29" s="12">
        <v>0</v>
      </c>
      <c r="L29" s="62">
        <v>0</v>
      </c>
      <c r="M29" s="62">
        <v>0</v>
      </c>
      <c r="N29" s="62">
        <v>0</v>
      </c>
      <c r="O29" s="62">
        <v>0</v>
      </c>
      <c r="P29" s="62">
        <v>0</v>
      </c>
      <c r="Q29" s="62">
        <v>0</v>
      </c>
      <c r="R29" s="62">
        <v>0</v>
      </c>
    </row>
    <row r="30" spans="1:18" x14ac:dyDescent="0.25">
      <c r="B30" s="11" t="s">
        <v>73</v>
      </c>
      <c r="C30" s="12">
        <v>-16</v>
      </c>
      <c r="D30" s="12">
        <v>24</v>
      </c>
      <c r="E30" s="12">
        <v>22.9</v>
      </c>
      <c r="F30" s="12">
        <v>-6</v>
      </c>
      <c r="G30" s="12">
        <v>-5.0999999999999996</v>
      </c>
      <c r="H30" s="12">
        <v>-7.3</v>
      </c>
      <c r="I30" s="12">
        <v>6.28</v>
      </c>
      <c r="J30" s="12">
        <v>0.3</v>
      </c>
      <c r="K30" s="12">
        <v>7.15</v>
      </c>
      <c r="L30" s="62">
        <v>-16</v>
      </c>
      <c r="M30" s="63"/>
      <c r="N30" s="63"/>
      <c r="O30" s="63"/>
      <c r="P30" s="63"/>
      <c r="Q30" s="63"/>
      <c r="R30" s="63"/>
    </row>
    <row r="31" spans="1:18" x14ac:dyDescent="0.25">
      <c r="A31" s="7" t="s">
        <v>94</v>
      </c>
      <c r="B31" s="11" t="s">
        <v>74</v>
      </c>
      <c r="C31" s="13">
        <v>4685.1000000000004</v>
      </c>
      <c r="D31" s="13">
        <v>4843.7</v>
      </c>
      <c r="E31" s="13">
        <v>4898</v>
      </c>
      <c r="F31" s="13">
        <v>2973.8</v>
      </c>
      <c r="G31" s="13">
        <v>3063.3</v>
      </c>
      <c r="H31" s="13">
        <v>2842.1</v>
      </c>
      <c r="I31" s="13">
        <v>2020.48</v>
      </c>
      <c r="J31" s="13">
        <v>1494.82</v>
      </c>
      <c r="K31" s="12">
        <v>914.88</v>
      </c>
      <c r="L31" s="64">
        <v>4685.1000000000004</v>
      </c>
      <c r="M31" s="65">
        <f ca="1">M23-M24-M26-M28</f>
        <v>4467.9079874000026</v>
      </c>
      <c r="N31" s="65">
        <f t="shared" ref="N31:R31" ca="1" si="6">N23-N24-N26-N28</f>
        <v>5332.4976438799995</v>
      </c>
      <c r="O31" s="65">
        <f t="shared" ca="1" si="6"/>
        <v>6389.9899998160017</v>
      </c>
      <c r="P31" s="65">
        <f t="shared" ca="1" si="6"/>
        <v>7675.0371041936041</v>
      </c>
      <c r="Q31" s="65">
        <f t="shared" ca="1" si="6"/>
        <v>9229.9779743404142</v>
      </c>
      <c r="R31" s="65">
        <f t="shared" ca="1" si="6"/>
        <v>11106.254940227296</v>
      </c>
    </row>
    <row r="32" spans="1:18" x14ac:dyDescent="0.25">
      <c r="B32" s="11" t="s">
        <v>75</v>
      </c>
      <c r="C32" s="12">
        <v>13.73</v>
      </c>
      <c r="D32" s="12">
        <v>14.34</v>
      </c>
      <c r="E32" s="12">
        <v>26.26</v>
      </c>
      <c r="F32" s="12">
        <v>58.29</v>
      </c>
      <c r="G32" s="12">
        <v>68.430000000000007</v>
      </c>
      <c r="H32" s="12">
        <v>59.22</v>
      </c>
      <c r="I32" s="12">
        <v>21.66</v>
      </c>
      <c r="J32" s="12">
        <v>12.27</v>
      </c>
      <c r="K32" s="12">
        <v>8.82</v>
      </c>
      <c r="L32" s="62">
        <v>13.73</v>
      </c>
      <c r="M32" s="63"/>
      <c r="N32" s="63"/>
      <c r="O32" s="63"/>
      <c r="P32" s="63"/>
      <c r="Q32" s="63"/>
      <c r="R32" s="63"/>
    </row>
    <row r="33" spans="2:19" x14ac:dyDescent="0.25">
      <c r="B33" s="11" t="s">
        <v>76</v>
      </c>
      <c r="C33" s="13">
        <v>4671.37</v>
      </c>
      <c r="D33" s="13">
        <v>4829.3599999999997</v>
      </c>
      <c r="E33" s="13">
        <v>4871.74</v>
      </c>
      <c r="F33" s="13">
        <v>2915.51</v>
      </c>
      <c r="G33" s="13">
        <v>2994.87</v>
      </c>
      <c r="H33" s="13">
        <v>2782.88</v>
      </c>
      <c r="I33" s="13">
        <v>1998.82</v>
      </c>
      <c r="J33" s="13">
        <v>1482.55</v>
      </c>
      <c r="K33" s="12">
        <v>906.06</v>
      </c>
      <c r="L33" s="64">
        <v>4671.37</v>
      </c>
      <c r="M33" s="65">
        <f ca="1">M31-M32</f>
        <v>4467.9079874000026</v>
      </c>
      <c r="N33" s="65">
        <f t="shared" ref="N33:R33" ca="1" si="7">N31-N32</f>
        <v>5332.4976438799995</v>
      </c>
      <c r="O33" s="65">
        <f t="shared" ca="1" si="7"/>
        <v>6389.9899998160017</v>
      </c>
      <c r="P33" s="65">
        <f t="shared" ca="1" si="7"/>
        <v>7675.0371041936041</v>
      </c>
      <c r="Q33" s="65">
        <f t="shared" ca="1" si="7"/>
        <v>9229.9779743404142</v>
      </c>
      <c r="R33" s="65">
        <f t="shared" ca="1" si="7"/>
        <v>11106.254940227296</v>
      </c>
    </row>
    <row r="34" spans="2:19" x14ac:dyDescent="0.25">
      <c r="B34" s="11" t="s">
        <v>77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62">
        <v>0</v>
      </c>
      <c r="M34" s="63"/>
      <c r="N34" s="63"/>
      <c r="O34" s="63"/>
      <c r="P34" s="63"/>
      <c r="Q34" s="63"/>
      <c r="R34" s="63"/>
    </row>
    <row r="35" spans="2:19" x14ac:dyDescent="0.25">
      <c r="B35" s="11" t="s">
        <v>78</v>
      </c>
      <c r="C35" s="13">
        <v>2666.3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64">
        <v>2666.3</v>
      </c>
      <c r="M35" s="65">
        <f>L37</f>
        <v>5168.3999999999996</v>
      </c>
      <c r="N35" s="65">
        <f t="shared" ref="N35:R35" ca="1" si="8">M37</f>
        <v>7453.3079874000032</v>
      </c>
      <c r="O35" s="65">
        <f t="shared" ca="1" si="8"/>
        <v>10602.805631280004</v>
      </c>
      <c r="P35" s="65">
        <f t="shared" ca="1" si="8"/>
        <v>14809.795631096007</v>
      </c>
      <c r="Q35" s="65">
        <f t="shared" ca="1" si="8"/>
        <v>20301.832735289612</v>
      </c>
      <c r="R35" s="65">
        <f t="shared" ca="1" si="8"/>
        <v>27348.810709630026</v>
      </c>
    </row>
    <row r="36" spans="2:19" x14ac:dyDescent="0.25">
      <c r="B36" s="11" t="s">
        <v>79</v>
      </c>
      <c r="C36" s="13">
        <v>2183</v>
      </c>
      <c r="D36" s="13">
        <v>2177.4</v>
      </c>
      <c r="E36" s="13">
        <v>4898</v>
      </c>
      <c r="F36" s="13">
        <v>2973.8</v>
      </c>
      <c r="G36" s="13">
        <v>3063.3</v>
      </c>
      <c r="H36" s="13">
        <v>2842.1</v>
      </c>
      <c r="I36" s="13">
        <v>2020.48</v>
      </c>
      <c r="J36" s="13">
        <v>1494.82</v>
      </c>
      <c r="K36" s="12">
        <v>914.88</v>
      </c>
      <c r="L36" s="64">
        <v>2183</v>
      </c>
      <c r="M36" s="65">
        <f>L36</f>
        <v>2183</v>
      </c>
      <c r="N36" s="65">
        <f t="shared" ref="N36:R36" si="9">M36</f>
        <v>2183</v>
      </c>
      <c r="O36" s="65">
        <f t="shared" si="9"/>
        <v>2183</v>
      </c>
      <c r="P36" s="65">
        <f t="shared" si="9"/>
        <v>2183</v>
      </c>
      <c r="Q36" s="65">
        <f t="shared" si="9"/>
        <v>2183</v>
      </c>
      <c r="R36" s="65">
        <f t="shared" si="9"/>
        <v>2183</v>
      </c>
      <c r="S36" t="s">
        <v>193</v>
      </c>
    </row>
    <row r="37" spans="2:19" x14ac:dyDescent="0.25">
      <c r="B37" s="11" t="s">
        <v>80</v>
      </c>
      <c r="C37" s="13">
        <v>5168.3999999999996</v>
      </c>
      <c r="D37" s="13">
        <v>2666.3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64">
        <v>5168.3999999999996</v>
      </c>
      <c r="M37" s="65">
        <f ca="1">M31+M34+M35-M36</f>
        <v>7453.3079874000032</v>
      </c>
      <c r="N37" s="65">
        <f t="shared" ref="N37:R37" ca="1" si="10">N31+N34+N35-N36</f>
        <v>10602.805631280004</v>
      </c>
      <c r="O37" s="65">
        <f t="shared" ca="1" si="10"/>
        <v>14809.795631096007</v>
      </c>
      <c r="P37" s="65">
        <f t="shared" ca="1" si="10"/>
        <v>20301.832735289612</v>
      </c>
      <c r="Q37" s="65">
        <f t="shared" ca="1" si="10"/>
        <v>27348.810709630026</v>
      </c>
      <c r="R37" s="65">
        <f t="shared" ca="1" si="10"/>
        <v>36272.065649857323</v>
      </c>
    </row>
    <row r="38" spans="2:19" x14ac:dyDescent="0.25">
      <c r="B38" s="11" t="s">
        <v>81</v>
      </c>
      <c r="C38" s="13">
        <v>1475.2</v>
      </c>
      <c r="D38" s="13">
        <v>1472.6</v>
      </c>
      <c r="E38" s="12">
        <v>880.9</v>
      </c>
      <c r="F38" s="12">
        <v>586</v>
      </c>
      <c r="G38" s="12">
        <v>876.5</v>
      </c>
      <c r="H38" s="12">
        <v>873.7</v>
      </c>
      <c r="I38" s="12">
        <v>712.88</v>
      </c>
      <c r="J38" s="12">
        <v>351.79</v>
      </c>
      <c r="K38" s="12">
        <v>675</v>
      </c>
      <c r="L38" s="64">
        <v>1475.2</v>
      </c>
      <c r="M38" s="65">
        <f ca="1">M31*Assumptions!$B$6</f>
        <v>1385.0514760940009</v>
      </c>
      <c r="N38" s="65">
        <f ca="1">N31*Assumptions!$B$6</f>
        <v>1653.0742696027999</v>
      </c>
      <c r="O38" s="65">
        <f ca="1">O31*Assumptions!$B$6</f>
        <v>1980.8968999429605</v>
      </c>
      <c r="P38" s="65">
        <f ca="1">P31*Assumptions!$B$6</f>
        <v>2379.2615023000171</v>
      </c>
      <c r="Q38" s="65">
        <f ca="1">Q31*Assumptions!$B$6</f>
        <v>2861.2931720455285</v>
      </c>
      <c r="R38" s="65">
        <f ca="1">R31*Assumptions!$B$6</f>
        <v>3442.9390314704619</v>
      </c>
    </row>
    <row r="39" spans="2:19" x14ac:dyDescent="0.25">
      <c r="B39" s="11"/>
      <c r="C39" s="43">
        <f>C38/C31</f>
        <v>0.31487054705342465</v>
      </c>
      <c r="D39" s="43">
        <f t="shared" ref="D39:K39" si="11">D38/D31</f>
        <v>0.30402378347131326</v>
      </c>
      <c r="E39" s="43">
        <f t="shared" si="11"/>
        <v>0.17984891792568394</v>
      </c>
      <c r="F39" s="43">
        <f t="shared" si="11"/>
        <v>0.19705427399287107</v>
      </c>
      <c r="G39" s="43">
        <f t="shared" si="11"/>
        <v>0.28612933764241177</v>
      </c>
      <c r="H39" s="43">
        <f t="shared" si="11"/>
        <v>0.30741353224728196</v>
      </c>
      <c r="I39" s="43">
        <f t="shared" si="11"/>
        <v>0.35282705099778272</v>
      </c>
      <c r="J39" s="43">
        <f t="shared" si="11"/>
        <v>0.23533937196451749</v>
      </c>
      <c r="K39" s="43">
        <f t="shared" si="11"/>
        <v>0.73780167890870929</v>
      </c>
      <c r="L39" s="68">
        <f>L38/L31</f>
        <v>0.31487054705342465</v>
      </c>
      <c r="M39" s="63"/>
      <c r="N39" s="63"/>
      <c r="O39" s="63"/>
      <c r="P39" s="63"/>
      <c r="Q39" s="63"/>
      <c r="R39" s="63"/>
    </row>
    <row r="40" spans="2:19" x14ac:dyDescent="0.25">
      <c r="B40" s="11" t="s">
        <v>82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62">
        <v>0</v>
      </c>
      <c r="M40" s="63">
        <f>L40</f>
        <v>0</v>
      </c>
      <c r="N40" s="63">
        <f t="shared" ref="N40:R40" si="12">M40</f>
        <v>0</v>
      </c>
      <c r="O40" s="63">
        <f t="shared" si="12"/>
        <v>0</v>
      </c>
      <c r="P40" s="63">
        <f t="shared" si="12"/>
        <v>0</v>
      </c>
      <c r="Q40" s="63">
        <f t="shared" si="12"/>
        <v>0</v>
      </c>
      <c r="R40" s="63">
        <f t="shared" si="12"/>
        <v>0</v>
      </c>
    </row>
    <row r="41" spans="2:19" x14ac:dyDescent="0.25">
      <c r="B41" s="11" t="s">
        <v>83</v>
      </c>
      <c r="C41" s="12">
        <v>300</v>
      </c>
      <c r="D41" s="12">
        <v>300</v>
      </c>
      <c r="E41" s="12">
        <v>300</v>
      </c>
      <c r="F41" s="12">
        <v>200</v>
      </c>
      <c r="G41" s="12">
        <v>300</v>
      </c>
      <c r="H41" s="12">
        <v>300</v>
      </c>
      <c r="I41" s="12">
        <v>250</v>
      </c>
      <c r="J41" s="12">
        <v>250</v>
      </c>
      <c r="K41" s="13">
        <v>1450</v>
      </c>
      <c r="L41" s="62">
        <v>300</v>
      </c>
      <c r="M41" s="63"/>
      <c r="N41" s="63"/>
      <c r="O41" s="63"/>
      <c r="P41" s="63"/>
      <c r="Q41" s="63"/>
      <c r="R41" s="63"/>
    </row>
    <row r="42" spans="2:19" x14ac:dyDescent="0.25">
      <c r="B42" s="11" t="s">
        <v>84</v>
      </c>
      <c r="C42" s="12">
        <v>18.079999999999998</v>
      </c>
      <c r="D42" s="12">
        <v>18.84</v>
      </c>
      <c r="E42" s="12">
        <v>32.49</v>
      </c>
      <c r="F42" s="12">
        <v>19.62</v>
      </c>
      <c r="G42" s="12">
        <v>19.940000000000001</v>
      </c>
      <c r="H42" s="12">
        <v>18.61</v>
      </c>
      <c r="I42" s="12">
        <v>13.47</v>
      </c>
      <c r="J42" s="12">
        <v>20.55</v>
      </c>
      <c r="K42" s="12">
        <v>35.590000000000003</v>
      </c>
      <c r="L42" s="62">
        <v>18.079999999999998</v>
      </c>
      <c r="M42" s="63"/>
      <c r="N42" s="63"/>
      <c r="O42" s="63"/>
      <c r="P42" s="63"/>
      <c r="Q42" s="63"/>
      <c r="R42" s="63"/>
    </row>
    <row r="43" spans="2:19" x14ac:dyDescent="0.25">
      <c r="B43" s="11" t="s">
        <v>85</v>
      </c>
      <c r="C43" s="11"/>
      <c r="D43" s="11"/>
      <c r="E43" s="11"/>
      <c r="F43" s="11"/>
      <c r="G43" s="11"/>
      <c r="H43" s="11"/>
      <c r="I43" s="11"/>
      <c r="J43" s="11"/>
      <c r="K43" s="11"/>
      <c r="L43" s="63"/>
      <c r="M43" s="63"/>
      <c r="N43" s="63"/>
      <c r="O43" s="63"/>
      <c r="P43" s="63"/>
      <c r="Q43" s="63"/>
      <c r="R43" s="63"/>
    </row>
    <row r="44" spans="2:19" x14ac:dyDescent="0.25">
      <c r="B44" s="11" t="s">
        <v>86</v>
      </c>
      <c r="C44" s="12">
        <v>99.05</v>
      </c>
      <c r="D44" s="12">
        <v>86.88</v>
      </c>
      <c r="E44" s="12">
        <v>120.51</v>
      </c>
      <c r="F44" s="12">
        <v>85.42</v>
      </c>
      <c r="G44" s="12">
        <v>79.05</v>
      </c>
      <c r="H44" s="12">
        <v>63.86</v>
      </c>
      <c r="I44" s="12">
        <v>45.03</v>
      </c>
      <c r="J44" s="12">
        <v>69.540000000000006</v>
      </c>
      <c r="K44" s="12">
        <v>150.69999999999999</v>
      </c>
      <c r="L44" s="62">
        <v>99.05</v>
      </c>
      <c r="M44" s="63"/>
      <c r="N44" s="63"/>
      <c r="O44" s="63"/>
      <c r="P44" s="63"/>
      <c r="Q44" s="63"/>
      <c r="R44" s="63"/>
    </row>
    <row r="45" spans="2:19" x14ac:dyDescent="0.25">
      <c r="B45" s="32" t="s">
        <v>96</v>
      </c>
      <c r="C45" s="11"/>
      <c r="D45" s="11"/>
      <c r="E45" s="11"/>
      <c r="F45" s="11"/>
      <c r="G45" s="11"/>
      <c r="H45" s="11"/>
      <c r="I45" s="11"/>
      <c r="J45" s="11"/>
      <c r="K45" s="11"/>
      <c r="L45" s="63"/>
      <c r="M45" s="69">
        <f ca="1">M31-M38-M40</f>
        <v>3082.8565113060017</v>
      </c>
      <c r="N45" s="69">
        <f t="shared" ref="N45:R45" ca="1" si="13">N31-N38-N40</f>
        <v>3679.4233742771994</v>
      </c>
      <c r="O45" s="69">
        <f t="shared" ca="1" si="13"/>
        <v>4409.093099873041</v>
      </c>
      <c r="P45" s="69">
        <f t="shared" ca="1" si="13"/>
        <v>5295.775601893587</v>
      </c>
      <c r="Q45" s="69">
        <f t="shared" ca="1" si="13"/>
        <v>6368.6848022948852</v>
      </c>
      <c r="R45" s="69">
        <f t="shared" ca="1" si="13"/>
        <v>7663.3159087568347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1" sqref="B1:H1"/>
    </sheetView>
  </sheetViews>
  <sheetFormatPr defaultRowHeight="15" x14ac:dyDescent="0.25"/>
  <cols>
    <col min="1" max="1" width="25.85546875" bestFit="1" customWidth="1"/>
    <col min="3" max="7" width="9.140625" style="26"/>
  </cols>
  <sheetData>
    <row r="1" spans="1:10" x14ac:dyDescent="0.25">
      <c r="A1" s="11"/>
      <c r="B1" s="30">
        <v>2012</v>
      </c>
      <c r="C1" s="31">
        <v>2013</v>
      </c>
      <c r="D1" s="31">
        <v>2014</v>
      </c>
      <c r="E1" s="31">
        <v>2015</v>
      </c>
      <c r="F1" s="31">
        <v>2016</v>
      </c>
      <c r="G1" s="31">
        <v>2017</v>
      </c>
      <c r="H1" s="31">
        <v>2018</v>
      </c>
    </row>
    <row r="2" spans="1:10" x14ac:dyDescent="0.25">
      <c r="A2" s="11" t="s">
        <v>105</v>
      </c>
      <c r="B2" s="22">
        <f>BS!B19</f>
        <v>8807.7999999999993</v>
      </c>
      <c r="C2" s="28">
        <f>B4</f>
        <v>9109</v>
      </c>
      <c r="D2" s="28">
        <f>C4</f>
        <v>9460.2000000000007</v>
      </c>
      <c r="E2" s="28">
        <f t="shared" ref="E2:G2" si="0">D4</f>
        <v>9861.4000000000015</v>
      </c>
      <c r="F2" s="28">
        <f t="shared" si="0"/>
        <v>10312.600000000002</v>
      </c>
      <c r="G2" s="28">
        <f t="shared" si="0"/>
        <v>10813.800000000003</v>
      </c>
      <c r="H2" s="28">
        <f t="shared" ref="H2" si="1">G4</f>
        <v>11365.000000000004</v>
      </c>
    </row>
    <row r="3" spans="1:10" x14ac:dyDescent="0.25">
      <c r="A3" s="11" t="s">
        <v>106</v>
      </c>
      <c r="B3" s="11">
        <f>BS!B24</f>
        <v>301.2</v>
      </c>
      <c r="C3" s="29">
        <f>B3+50</f>
        <v>351.2</v>
      </c>
      <c r="D3" s="29">
        <f t="shared" ref="D3:H3" si="2">C3+50</f>
        <v>401.2</v>
      </c>
      <c r="E3" s="29">
        <f t="shared" si="2"/>
        <v>451.2</v>
      </c>
      <c r="F3" s="29">
        <f t="shared" si="2"/>
        <v>501.2</v>
      </c>
      <c r="G3" s="29">
        <f t="shared" si="2"/>
        <v>551.20000000000005</v>
      </c>
      <c r="H3" s="29">
        <f t="shared" si="2"/>
        <v>601.20000000000005</v>
      </c>
      <c r="J3" t="s">
        <v>153</v>
      </c>
    </row>
    <row r="4" spans="1:10" x14ac:dyDescent="0.25">
      <c r="A4" s="11" t="s">
        <v>107</v>
      </c>
      <c r="B4" s="22">
        <f>B2+B3</f>
        <v>9109</v>
      </c>
      <c r="C4" s="29">
        <f>C2+C3</f>
        <v>9460.2000000000007</v>
      </c>
      <c r="D4" s="29">
        <f t="shared" ref="D4:H4" si="3">D2+D3</f>
        <v>9861.4000000000015</v>
      </c>
      <c r="E4" s="29">
        <f t="shared" si="3"/>
        <v>10312.600000000002</v>
      </c>
      <c r="F4" s="29">
        <f t="shared" si="3"/>
        <v>10813.800000000003</v>
      </c>
      <c r="G4" s="29">
        <f t="shared" si="3"/>
        <v>11365.000000000004</v>
      </c>
      <c r="H4" s="29">
        <f t="shared" si="3"/>
        <v>11966.200000000004</v>
      </c>
    </row>
    <row r="5" spans="1:10" x14ac:dyDescent="0.25">
      <c r="A5" s="32" t="s">
        <v>108</v>
      </c>
      <c r="B5" s="11"/>
      <c r="C5" s="29"/>
      <c r="D5" s="29"/>
      <c r="E5" s="29"/>
      <c r="F5" s="29"/>
      <c r="G5" s="29"/>
      <c r="H5" s="29"/>
    </row>
    <row r="6" spans="1:10" x14ac:dyDescent="0.25">
      <c r="A6" s="11" t="s">
        <v>109</v>
      </c>
      <c r="B6" s="22">
        <f>B4</f>
        <v>9109</v>
      </c>
      <c r="C6" s="29">
        <f>C4</f>
        <v>9460.2000000000007</v>
      </c>
      <c r="D6" s="29">
        <f t="shared" ref="D6:G6" si="4">D4</f>
        <v>9861.4000000000015</v>
      </c>
      <c r="E6" s="29">
        <f t="shared" si="4"/>
        <v>10312.600000000002</v>
      </c>
      <c r="F6" s="29">
        <f t="shared" si="4"/>
        <v>10813.800000000003</v>
      </c>
      <c r="G6" s="29">
        <f t="shared" si="4"/>
        <v>11365.000000000004</v>
      </c>
      <c r="H6" s="29">
        <f t="shared" ref="H6" si="5">H4</f>
        <v>11966.200000000004</v>
      </c>
    </row>
    <row r="7" spans="1:10" x14ac:dyDescent="0.25">
      <c r="A7" s="11" t="s">
        <v>110</v>
      </c>
      <c r="B7" s="22">
        <f>BS!B20</f>
        <v>4158</v>
      </c>
      <c r="C7" s="28">
        <f>B7+C9</f>
        <v>4900.768</v>
      </c>
      <c r="D7" s="28">
        <f t="shared" ref="D7:G7" si="6">C7+D9</f>
        <v>5673.6320000000005</v>
      </c>
      <c r="E7" s="28">
        <f t="shared" si="6"/>
        <v>6480.5920000000006</v>
      </c>
      <c r="F7" s="28">
        <f t="shared" si="6"/>
        <v>7325.648000000001</v>
      </c>
      <c r="G7" s="28">
        <f t="shared" si="6"/>
        <v>8212.8000000000011</v>
      </c>
      <c r="H7" s="28">
        <f t="shared" ref="H7" si="7">G7+H9</f>
        <v>9146.0480000000007</v>
      </c>
    </row>
    <row r="8" spans="1:10" x14ac:dyDescent="0.25">
      <c r="A8" s="11" t="s">
        <v>111</v>
      </c>
      <c r="B8" s="22">
        <f>B6-B7</f>
        <v>4951</v>
      </c>
      <c r="C8" s="29">
        <f>C6-C7</f>
        <v>4559.4320000000007</v>
      </c>
      <c r="D8" s="29">
        <f t="shared" ref="D8:H8" si="8">D6-D7</f>
        <v>4187.7680000000009</v>
      </c>
      <c r="E8" s="29">
        <f t="shared" si="8"/>
        <v>3832.0080000000016</v>
      </c>
      <c r="F8" s="29">
        <f t="shared" si="8"/>
        <v>3488.1520000000019</v>
      </c>
      <c r="G8" s="29">
        <f t="shared" si="8"/>
        <v>3152.2000000000025</v>
      </c>
      <c r="H8" s="29">
        <f t="shared" si="8"/>
        <v>2820.1520000000037</v>
      </c>
    </row>
    <row r="9" spans="1:10" x14ac:dyDescent="0.25">
      <c r="A9" s="11" t="s">
        <v>154</v>
      </c>
      <c r="B9" s="28">
        <f>AVERAGE(B2,B4)*Assumptions!$B$7</f>
        <v>716.67200000000003</v>
      </c>
      <c r="C9" s="28">
        <f>AVERAGE(C2,C4)*Assumptions!$B$7</f>
        <v>742.76800000000003</v>
      </c>
      <c r="D9" s="28">
        <f>AVERAGE(D2,D4)*Assumptions!$B$7</f>
        <v>772.86400000000015</v>
      </c>
      <c r="E9" s="28">
        <f>AVERAGE(E2,E4)*Assumptions!$B$7</f>
        <v>806.96000000000015</v>
      </c>
      <c r="F9" s="28">
        <f>AVERAGE(F2,F4)*Assumptions!$B$7</f>
        <v>845.05600000000027</v>
      </c>
      <c r="G9" s="28">
        <f>AVERAGE(G2,G4)*Assumptions!$B$7</f>
        <v>887.15200000000027</v>
      </c>
      <c r="H9" s="28">
        <f>AVERAGE(H2,H4)*Assumptions!$B$7</f>
        <v>933.24800000000039</v>
      </c>
    </row>
    <row r="10" spans="1:10" x14ac:dyDescent="0.25">
      <c r="A10" s="11"/>
      <c r="B10" s="11"/>
      <c r="C10" s="29"/>
      <c r="D10" s="29"/>
      <c r="E10" s="29"/>
      <c r="F10" s="29"/>
      <c r="G10" s="29"/>
      <c r="H10" s="29"/>
    </row>
    <row r="11" spans="1:10" x14ac:dyDescent="0.25">
      <c r="A11" s="19" t="s">
        <v>112</v>
      </c>
      <c r="B11" s="11"/>
      <c r="C11" s="29"/>
      <c r="D11" s="29"/>
      <c r="E11" s="29"/>
      <c r="F11" s="29"/>
      <c r="G11" s="29"/>
      <c r="H11" s="29"/>
    </row>
    <row r="12" spans="1:10" x14ac:dyDescent="0.25">
      <c r="A12" s="11" t="s">
        <v>109</v>
      </c>
      <c r="B12" s="22">
        <f>B4</f>
        <v>9109</v>
      </c>
      <c r="C12" s="29">
        <f>C4</f>
        <v>9460.2000000000007</v>
      </c>
      <c r="D12" s="29">
        <f t="shared" ref="D12:G12" si="9">D4</f>
        <v>9861.4000000000015</v>
      </c>
      <c r="E12" s="29">
        <f t="shared" si="9"/>
        <v>10312.600000000002</v>
      </c>
      <c r="F12" s="29">
        <f t="shared" si="9"/>
        <v>10813.800000000003</v>
      </c>
      <c r="G12" s="29">
        <f t="shared" si="9"/>
        <v>11365.000000000004</v>
      </c>
      <c r="H12" s="29">
        <f t="shared" ref="H12" si="10">H4</f>
        <v>11966.200000000004</v>
      </c>
    </row>
    <row r="13" spans="1:10" x14ac:dyDescent="0.25">
      <c r="A13" s="11" t="s">
        <v>113</v>
      </c>
      <c r="B13" s="22">
        <f>BS!B20</f>
        <v>4158</v>
      </c>
      <c r="C13" s="28">
        <f>B13+C15</f>
        <v>5706.9760000000006</v>
      </c>
      <c r="D13" s="28">
        <f t="shared" ref="D13:G13" si="11">C13+D15</f>
        <v>7096.4038400000009</v>
      </c>
      <c r="E13" s="28">
        <f t="shared" si="11"/>
        <v>8363.8112256000004</v>
      </c>
      <c r="F13" s="28">
        <f t="shared" si="11"/>
        <v>9540.7214295040012</v>
      </c>
      <c r="G13" s="28">
        <f t="shared" si="11"/>
        <v>10653.614000783362</v>
      </c>
      <c r="H13" s="28">
        <f t="shared" ref="H13" si="12">G13+H15</f>
        <v>11724.731760658025</v>
      </c>
    </row>
    <row r="14" spans="1:10" x14ac:dyDescent="0.25">
      <c r="A14" s="11" t="s">
        <v>111</v>
      </c>
      <c r="B14" s="22">
        <f>B12-B13</f>
        <v>4951</v>
      </c>
      <c r="C14" s="29">
        <f>C12-C13</f>
        <v>3753.2240000000002</v>
      </c>
      <c r="D14" s="29">
        <f t="shared" ref="D14:H14" si="13">D12-D13</f>
        <v>2764.9961600000006</v>
      </c>
      <c r="E14" s="29">
        <f t="shared" si="13"/>
        <v>1948.7887744000018</v>
      </c>
      <c r="F14" s="29">
        <f t="shared" si="13"/>
        <v>1273.0785704960017</v>
      </c>
      <c r="G14" s="29">
        <f t="shared" si="13"/>
        <v>711.38599921664172</v>
      </c>
      <c r="H14" s="29">
        <f t="shared" si="13"/>
        <v>241.46823934197892</v>
      </c>
    </row>
    <row r="15" spans="1:10" x14ac:dyDescent="0.25">
      <c r="A15" s="11" t="s">
        <v>114</v>
      </c>
      <c r="B15" s="11"/>
      <c r="C15" s="29">
        <f>(B14+(C4/2))*Assumptions!$B$8</f>
        <v>1548.9760000000001</v>
      </c>
      <c r="D15" s="29">
        <f>(C14+(D4/2))*Assumptions!$B$8</f>
        <v>1389.4278400000001</v>
      </c>
      <c r="E15" s="29">
        <f>(D14+(E4/2))*Assumptions!$B$8</f>
        <v>1267.4073856000002</v>
      </c>
      <c r="F15" s="29">
        <f>(E14+(F4/2))*Assumptions!$B$8</f>
        <v>1176.9102039040006</v>
      </c>
      <c r="G15" s="29">
        <f>(F14+(G4/2))*Assumptions!$B$8</f>
        <v>1112.8925712793605</v>
      </c>
      <c r="H15" s="29">
        <f>(G14+(H4/2))*Assumptions!$B$8</f>
        <v>1071.1177598746631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" sqref="A1:G1"/>
    </sheetView>
  </sheetViews>
  <sheetFormatPr defaultRowHeight="15" x14ac:dyDescent="0.25"/>
  <cols>
    <col min="1" max="1" width="17.7109375" customWidth="1"/>
    <col min="2" max="2" width="12" style="26" bestFit="1" customWidth="1"/>
    <col min="3" max="7" width="9.140625" style="26"/>
  </cols>
  <sheetData>
    <row r="1" spans="1:7" x14ac:dyDescent="0.25">
      <c r="A1" s="48"/>
      <c r="B1" s="27">
        <v>2013</v>
      </c>
      <c r="C1" s="27">
        <v>2014</v>
      </c>
      <c r="D1" s="27">
        <v>2015</v>
      </c>
      <c r="E1" s="27">
        <v>2016</v>
      </c>
      <c r="F1" s="27">
        <v>2017</v>
      </c>
      <c r="G1" s="27">
        <v>2018</v>
      </c>
    </row>
    <row r="2" spans="1:7" x14ac:dyDescent="0.25">
      <c r="A2" s="19" t="s">
        <v>90</v>
      </c>
      <c r="B2" s="28">
        <f>PL!M23</f>
        <v>8251.0740960000039</v>
      </c>
      <c r="C2" s="28">
        <f>PL!N23</f>
        <v>9901.2889151999989</v>
      </c>
      <c r="D2" s="28">
        <f>PL!O23</f>
        <v>11881.546698240003</v>
      </c>
      <c r="E2" s="28">
        <f>PL!P23</f>
        <v>14257.856037888007</v>
      </c>
      <c r="F2" s="28">
        <f>PL!Q23</f>
        <v>17109.427245465595</v>
      </c>
      <c r="G2" s="28">
        <f>PL!R23</f>
        <v>20531.312694558714</v>
      </c>
    </row>
    <row r="3" spans="1:7" x14ac:dyDescent="0.25">
      <c r="A3" s="19" t="s">
        <v>114</v>
      </c>
      <c r="B3" s="29">
        <f>Depn!C15</f>
        <v>1548.9760000000001</v>
      </c>
      <c r="C3" s="29">
        <f>Depn!D15</f>
        <v>1389.4278400000001</v>
      </c>
      <c r="D3" s="29">
        <f>Depn!E15</f>
        <v>1267.4073856000002</v>
      </c>
      <c r="E3" s="29">
        <f>Depn!F15</f>
        <v>1176.9102039040006</v>
      </c>
      <c r="F3" s="29">
        <f>Depn!G15</f>
        <v>1112.8925712793605</v>
      </c>
      <c r="G3" s="29">
        <f>Depn!H15</f>
        <v>1071.1177598746631</v>
      </c>
    </row>
    <row r="4" spans="1:7" x14ac:dyDescent="0.25">
      <c r="A4" s="19" t="s">
        <v>116</v>
      </c>
      <c r="B4" s="29">
        <f ca="1">'Int from Debt'!C12</f>
        <v>1068.7134999999998</v>
      </c>
      <c r="C4" s="29">
        <f ca="1">'Int from Debt'!D12</f>
        <v>1256.5782999999997</v>
      </c>
      <c r="D4" s="29">
        <f ca="1">'Int from Debt'!E12</f>
        <v>1491.7660599999995</v>
      </c>
      <c r="E4" s="29">
        <f ca="1">'Int from Debt'!F12</f>
        <v>1783.741372</v>
      </c>
      <c r="F4" s="29">
        <f ca="1">'Int from Debt'!G12</f>
        <v>2143.8617463999994</v>
      </c>
      <c r="G4" s="29">
        <f ca="1">'Int from Debt'!H12</f>
        <v>2585.7561956799991</v>
      </c>
    </row>
    <row r="5" spans="1:7" x14ac:dyDescent="0.25">
      <c r="A5" s="19" t="s">
        <v>117</v>
      </c>
      <c r="B5" s="28">
        <f ca="1">B2-B3-B4</f>
        <v>5633.3845960000035</v>
      </c>
      <c r="C5" s="28">
        <f t="shared" ref="C5:G5" ca="1" si="0">C2-C3-C4</f>
        <v>7255.2827751999994</v>
      </c>
      <c r="D5" s="28">
        <f t="shared" ca="1" si="0"/>
        <v>9122.3732526400036</v>
      </c>
      <c r="E5" s="28">
        <f t="shared" ca="1" si="0"/>
        <v>11297.204461984005</v>
      </c>
      <c r="F5" s="28">
        <f t="shared" ca="1" si="0"/>
        <v>13852.672927786234</v>
      </c>
      <c r="G5" s="28">
        <f t="shared" ca="1" si="0"/>
        <v>16874.438739004054</v>
      </c>
    </row>
    <row r="6" spans="1:7" x14ac:dyDescent="0.25">
      <c r="A6" s="19" t="s">
        <v>118</v>
      </c>
      <c r="B6" s="29">
        <f ca="1">Assumptions!$B$9*B5</f>
        <v>1971.6846086000012</v>
      </c>
      <c r="C6" s="29">
        <f ca="1">Assumptions!$B$9*C5</f>
        <v>2539.3489713199997</v>
      </c>
      <c r="D6" s="29">
        <f ca="1">Assumptions!$B$9*D5</f>
        <v>3192.8306384240009</v>
      </c>
      <c r="E6" s="29">
        <f ca="1">Assumptions!$B$9*E5</f>
        <v>3954.0215616944015</v>
      </c>
      <c r="F6" s="29">
        <f ca="1">Assumptions!$B$9*F5</f>
        <v>4848.4355247251815</v>
      </c>
      <c r="G6" s="29">
        <f ca="1">Assumptions!$B$9*G5</f>
        <v>5906.0535586514188</v>
      </c>
    </row>
    <row r="10" spans="1:7" x14ac:dyDescent="0.25">
      <c r="A10" s="10" t="s">
        <v>127</v>
      </c>
    </row>
    <row r="11" spans="1:7" x14ac:dyDescent="0.25">
      <c r="A11" s="10" t="s">
        <v>128</v>
      </c>
    </row>
    <row r="12" spans="1:7" x14ac:dyDescent="0.25">
      <c r="A12" s="10" t="s">
        <v>129</v>
      </c>
    </row>
    <row r="13" spans="1:7" x14ac:dyDescent="0.25">
      <c r="A13" s="10" t="s">
        <v>155</v>
      </c>
    </row>
    <row r="14" spans="1:7" x14ac:dyDescent="0.25">
      <c r="A14" s="10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H1"/>
    </sheetView>
  </sheetViews>
  <sheetFormatPr defaultRowHeight="15" x14ac:dyDescent="0.25"/>
  <cols>
    <col min="1" max="1" width="38.7109375" customWidth="1"/>
    <col min="3" max="3" width="9.140625" style="26"/>
    <col min="4" max="4" width="9.7109375" style="26" bestFit="1" customWidth="1"/>
    <col min="5" max="8" width="9.140625" style="26"/>
  </cols>
  <sheetData>
    <row r="1" spans="1:9" x14ac:dyDescent="0.25">
      <c r="A1" s="51"/>
      <c r="B1" s="20">
        <v>2012</v>
      </c>
      <c r="C1" s="27">
        <v>2013</v>
      </c>
      <c r="D1" s="27">
        <v>2014</v>
      </c>
      <c r="E1" s="27">
        <v>2015</v>
      </c>
      <c r="F1" s="27">
        <v>2016</v>
      </c>
      <c r="G1" s="27">
        <v>2017</v>
      </c>
      <c r="H1" s="27">
        <v>2018</v>
      </c>
    </row>
    <row r="2" spans="1:9" x14ac:dyDescent="0.25">
      <c r="A2" s="21" t="s">
        <v>97</v>
      </c>
      <c r="B2" s="22">
        <f>B3+B4</f>
        <v>5286.9</v>
      </c>
      <c r="C2" s="28">
        <f t="shared" ref="C2:H2" si="0">C3+C4</f>
        <v>5286.9</v>
      </c>
      <c r="D2" s="28">
        <f t="shared" si="0"/>
        <v>5286.9</v>
      </c>
      <c r="E2" s="28">
        <f t="shared" si="0"/>
        <v>5286.9</v>
      </c>
      <c r="F2" s="28">
        <f t="shared" si="0"/>
        <v>5286.9</v>
      </c>
      <c r="G2" s="28">
        <f t="shared" si="0"/>
        <v>5286.9</v>
      </c>
      <c r="H2" s="28">
        <f t="shared" si="0"/>
        <v>5286.9</v>
      </c>
    </row>
    <row r="3" spans="1:9" x14ac:dyDescent="0.25">
      <c r="A3" s="21" t="s">
        <v>98</v>
      </c>
      <c r="B3" s="11">
        <f>BS!B13</f>
        <v>1</v>
      </c>
      <c r="C3" s="29">
        <f>BS!C13</f>
        <v>1</v>
      </c>
      <c r="D3" s="29">
        <f>BS!D13</f>
        <v>1</v>
      </c>
      <c r="E3" s="29">
        <f>BS!E13</f>
        <v>1</v>
      </c>
      <c r="F3" s="29">
        <f>BS!F13</f>
        <v>1</v>
      </c>
      <c r="G3" s="29">
        <f>BS!G13</f>
        <v>1</v>
      </c>
      <c r="H3" s="29">
        <f>BS!H13</f>
        <v>1</v>
      </c>
    </row>
    <row r="4" spans="1:9" x14ac:dyDescent="0.25">
      <c r="A4" s="21" t="s">
        <v>99</v>
      </c>
      <c r="B4" s="22">
        <f>BS!B14</f>
        <v>5285.9</v>
      </c>
      <c r="C4" s="28">
        <f>BS!C14</f>
        <v>5285.9</v>
      </c>
      <c r="D4" s="28">
        <f>BS!D14</f>
        <v>5285.9</v>
      </c>
      <c r="E4" s="28">
        <f>BS!E14</f>
        <v>5285.9</v>
      </c>
      <c r="F4" s="28">
        <f>BS!F14</f>
        <v>5285.9</v>
      </c>
      <c r="G4" s="28">
        <f>BS!G14</f>
        <v>5285.9</v>
      </c>
      <c r="H4" s="28">
        <f>BS!H14</f>
        <v>5285.9</v>
      </c>
    </row>
    <row r="5" spans="1:9" x14ac:dyDescent="0.25">
      <c r="A5" s="21" t="s">
        <v>151</v>
      </c>
      <c r="B5" s="22">
        <f>BS!B41</f>
        <v>0</v>
      </c>
      <c r="C5" s="28">
        <f ca="1">BS!C41</f>
        <v>0</v>
      </c>
      <c r="D5" s="28">
        <f ca="1">BS!D41</f>
        <v>0</v>
      </c>
      <c r="E5" s="28">
        <f ca="1">BS!E41</f>
        <v>0</v>
      </c>
      <c r="F5" s="28">
        <f ca="1">BS!F41</f>
        <v>0</v>
      </c>
      <c r="G5" s="28">
        <f ca="1">BS!G41</f>
        <v>0</v>
      </c>
      <c r="H5" s="28">
        <f ca="1">BS!H41</f>
        <v>0</v>
      </c>
    </row>
    <row r="6" spans="1:9" x14ac:dyDescent="0.25">
      <c r="A6" s="21" t="s">
        <v>149</v>
      </c>
      <c r="B6" s="22">
        <f>BS!B49</f>
        <v>8655.9</v>
      </c>
      <c r="C6" s="28">
        <f>BS!C49</f>
        <v>10361.499999999998</v>
      </c>
      <c r="D6" s="28">
        <f>BS!D49</f>
        <v>12419.019999999997</v>
      </c>
      <c r="E6" s="28">
        <f>BS!E49</f>
        <v>14888.043999999996</v>
      </c>
      <c r="F6" s="28">
        <f>BS!F49</f>
        <v>17850.872799999997</v>
      </c>
      <c r="G6" s="28">
        <f>BS!G49</f>
        <v>21406.267359999994</v>
      </c>
      <c r="H6" s="28">
        <f>BS!H49</f>
        <v>25672.740831999992</v>
      </c>
    </row>
    <row r="7" spans="1:9" x14ac:dyDescent="0.25">
      <c r="A7" s="23" t="s">
        <v>101</v>
      </c>
      <c r="B7" s="11">
        <f>B3*Assumptions!$B$10+B4*Assumptions!$B$11+B5*Assumptions!$B$13+B6*Assumptions!$B$12</f>
        <v>1524.1035000000002</v>
      </c>
      <c r="C7" s="29">
        <f ca="1">C3*Assumptions!$B$10+C4*Assumptions!$B$11+C5*Assumptions!$B$13+C6*Assumptions!$B$12</f>
        <v>1720.2474999999999</v>
      </c>
      <c r="D7" s="29">
        <f ca="1">D3*Assumptions!$B$10+D4*Assumptions!$B$11+D5*Assumptions!$B$13+D6*Assumptions!$B$12</f>
        <v>1956.8622999999998</v>
      </c>
      <c r="E7" s="29">
        <f ca="1">E3*Assumptions!$B$10+E4*Assumptions!$B$11+E5*Assumptions!$B$13+E6*Assumptions!$B$12</f>
        <v>2240.8000599999996</v>
      </c>
      <c r="F7" s="29">
        <f ca="1">F3*Assumptions!$B$10+F4*Assumptions!$B$11+F5*Assumptions!$B$13+F6*Assumptions!$B$12</f>
        <v>2581.5253720000001</v>
      </c>
      <c r="G7" s="29">
        <f ca="1">G3*Assumptions!$B$10+G4*Assumptions!$B$11+G5*Assumptions!$B$13+G6*Assumptions!$B$12</f>
        <v>2990.3957463999996</v>
      </c>
      <c r="H7" s="29">
        <f ca="1">H3*Assumptions!$B$10+H4*Assumptions!$B$11+H5*Assumptions!$B$13+H6*Assumptions!$B$12</f>
        <v>3481.0401956799992</v>
      </c>
    </row>
    <row r="8" spans="1:9" x14ac:dyDescent="0.25">
      <c r="A8" s="21"/>
      <c r="B8" s="11"/>
      <c r="C8" s="29"/>
      <c r="D8" s="29"/>
      <c r="E8" s="29"/>
      <c r="F8" s="29"/>
      <c r="G8" s="29"/>
      <c r="H8" s="29"/>
    </row>
    <row r="9" spans="1:9" x14ac:dyDescent="0.25">
      <c r="A9" s="21" t="s">
        <v>102</v>
      </c>
      <c r="B9" s="22">
        <f>BS!B30</f>
        <v>6432.4</v>
      </c>
      <c r="C9" s="28">
        <f>AVERAGE(BS!B30,BS!C30)</f>
        <v>6682.4</v>
      </c>
      <c r="D9" s="28">
        <f>AVERAGE(BS!C30,BS!D30)</f>
        <v>7182.4</v>
      </c>
      <c r="E9" s="28">
        <f>AVERAGE(BS!D30,BS!E30)</f>
        <v>7682.4</v>
      </c>
      <c r="F9" s="28">
        <f>AVERAGE(BS!E30,BS!F30)</f>
        <v>8182.4</v>
      </c>
      <c r="G9" s="28">
        <f>AVERAGE(BS!F30,BS!G30)</f>
        <v>8682.4</v>
      </c>
      <c r="H9" s="28">
        <f>AVERAGE(BS!G30,BS!H30)</f>
        <v>9182.4</v>
      </c>
    </row>
    <row r="10" spans="1:9" x14ac:dyDescent="0.25">
      <c r="A10" s="21" t="s">
        <v>103</v>
      </c>
      <c r="B10" s="22">
        <f>AVERAGE(BS!B25,BS!C25)</f>
        <v>10585.2</v>
      </c>
      <c r="C10" s="28">
        <f>AVERAGE(BS!B25,BS!C25)</f>
        <v>10585.2</v>
      </c>
      <c r="D10" s="28">
        <f>AVERAGE(BS!C25,BS!D25)</f>
        <v>11085.2</v>
      </c>
      <c r="E10" s="28">
        <f>AVERAGE(BS!D25,BS!E25)</f>
        <v>11585.2</v>
      </c>
      <c r="F10" s="28">
        <f>AVERAGE(BS!E25,BS!F25)</f>
        <v>12085.2</v>
      </c>
      <c r="G10" s="28">
        <f>AVERAGE(BS!F25,BS!G25)</f>
        <v>12585.2</v>
      </c>
      <c r="H10" s="28">
        <f>AVERAGE(BS!G25,BS!H25)</f>
        <v>13085.2</v>
      </c>
      <c r="I10" s="5"/>
    </row>
    <row r="11" spans="1:9" x14ac:dyDescent="0.25">
      <c r="A11" s="23" t="s">
        <v>104</v>
      </c>
      <c r="B11" s="11">
        <f>B9*Assumptions!$B$14+B10*Assumptions!B15</f>
        <v>1579.827</v>
      </c>
      <c r="C11" s="29">
        <f>C9*Assumptions!$B$14+C10*Assumptions!C15</f>
        <v>651.53399999999999</v>
      </c>
      <c r="D11" s="29">
        <f>D9*Assumptions!$B$14+D10*Assumptions!D15</f>
        <v>700.28399999999999</v>
      </c>
      <c r="E11" s="29">
        <f>E9*Assumptions!$B$14+E10*Assumptions!E15</f>
        <v>749.03399999999999</v>
      </c>
      <c r="F11" s="29">
        <f>F9*Assumptions!$B$14+F10*Assumptions!F15</f>
        <v>797.78399999999999</v>
      </c>
      <c r="G11" s="29">
        <f>G9*Assumptions!$B$14+G10*Assumptions!G15</f>
        <v>846.53399999999999</v>
      </c>
      <c r="H11" s="29">
        <f>H9*Assumptions!$B$14+H10*Assumptions!H15</f>
        <v>895.28399999999999</v>
      </c>
    </row>
    <row r="12" spans="1:9" x14ac:dyDescent="0.25">
      <c r="A12" s="24" t="s">
        <v>150</v>
      </c>
      <c r="B12" s="11">
        <f>B7-B11</f>
        <v>-55.723499999999831</v>
      </c>
      <c r="C12" s="29">
        <f t="shared" ref="C12:H12" ca="1" si="1">C7-C11</f>
        <v>1068.7134999999998</v>
      </c>
      <c r="D12" s="29">
        <f t="shared" ca="1" si="1"/>
        <v>1256.5782999999997</v>
      </c>
      <c r="E12" s="29">
        <f t="shared" ca="1" si="1"/>
        <v>1491.7660599999995</v>
      </c>
      <c r="F12" s="29">
        <f t="shared" ca="1" si="1"/>
        <v>1783.741372</v>
      </c>
      <c r="G12" s="29">
        <f t="shared" ca="1" si="1"/>
        <v>2143.8617463999994</v>
      </c>
      <c r="H12" s="29">
        <f t="shared" ca="1" si="1"/>
        <v>2585.7561956799991</v>
      </c>
    </row>
    <row r="13" spans="1:9" x14ac:dyDescent="0.25">
      <c r="A13" s="24" t="s">
        <v>185</v>
      </c>
      <c r="B13" s="11"/>
      <c r="C13" s="29">
        <f ca="1">C12*Assumptions!$B$9</f>
        <v>374.04972499999991</v>
      </c>
      <c r="D13" s="29">
        <f ca="1">D12*Assumptions!$B$9</f>
        <v>439.80240499999985</v>
      </c>
      <c r="E13" s="29">
        <f ca="1">E12*Assumptions!$B$9</f>
        <v>522.11812099999975</v>
      </c>
      <c r="F13" s="29">
        <f ca="1">F12*Assumptions!$B$9</f>
        <v>624.30948019999994</v>
      </c>
      <c r="G13" s="29">
        <f ca="1">G12*Assumptions!$B$9</f>
        <v>750.35161123999978</v>
      </c>
      <c r="H13" s="29">
        <f ca="1">H12*Assumptions!$B$9</f>
        <v>905.01466848799964</v>
      </c>
    </row>
    <row r="14" spans="1:9" x14ac:dyDescent="0.25">
      <c r="A14" s="10" t="s">
        <v>125</v>
      </c>
    </row>
    <row r="15" spans="1:9" x14ac:dyDescent="0.25">
      <c r="A15" s="10" t="s">
        <v>126</v>
      </c>
    </row>
    <row r="17" spans="4:4" x14ac:dyDescent="0.25">
      <c r="D17" s="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workbookViewId="0">
      <selection activeCell="J17" sqref="J17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1" bestFit="1" customWidth="1"/>
    <col min="7" max="7" width="13.5703125" bestFit="1" customWidth="1"/>
  </cols>
  <sheetData>
    <row r="1" spans="1:5" x14ac:dyDescent="0.25">
      <c r="A1" s="52" t="s">
        <v>157</v>
      </c>
      <c r="B1" s="52" t="s">
        <v>158</v>
      </c>
      <c r="C1" s="52" t="s">
        <v>197</v>
      </c>
      <c r="D1" s="52" t="s">
        <v>159</v>
      </c>
      <c r="E1" s="52" t="s">
        <v>160</v>
      </c>
    </row>
    <row r="2" spans="1:5" x14ac:dyDescent="0.25">
      <c r="A2" s="33">
        <v>40910</v>
      </c>
      <c r="B2">
        <v>399</v>
      </c>
    </row>
    <row r="3" spans="1:5" x14ac:dyDescent="0.25">
      <c r="A3" s="33">
        <v>40911</v>
      </c>
      <c r="B3">
        <v>402.35</v>
      </c>
      <c r="C3" s="34">
        <f>B3/B2 -1</f>
        <v>8.3959899749372902E-3</v>
      </c>
      <c r="D3" s="34">
        <f>Nifty!$H$4</f>
        <v>3.1746031746031746E-4</v>
      </c>
      <c r="E3" s="34">
        <f>C3-D3</f>
        <v>8.0785296574769731E-3</v>
      </c>
    </row>
    <row r="4" spans="1:5" x14ac:dyDescent="0.25">
      <c r="A4" s="33">
        <v>40912</v>
      </c>
      <c r="B4">
        <v>418.7</v>
      </c>
      <c r="C4" s="34">
        <f t="shared" ref="C4:C67" si="0">B4/B3 -1</f>
        <v>4.0636261960979247E-2</v>
      </c>
      <c r="D4" s="34">
        <f>Nifty!$H$4</f>
        <v>3.1746031746031746E-4</v>
      </c>
      <c r="E4" s="34">
        <f t="shared" ref="E4:E67" si="1">C4-D4</f>
        <v>4.0318801643518927E-2</v>
      </c>
    </row>
    <row r="5" spans="1:5" x14ac:dyDescent="0.25">
      <c r="A5" s="33">
        <v>40913</v>
      </c>
      <c r="B5">
        <v>415.7</v>
      </c>
      <c r="C5" s="34">
        <f t="shared" si="0"/>
        <v>-7.1650346310007107E-3</v>
      </c>
      <c r="D5" s="34">
        <f>Nifty!$H$4</f>
        <v>3.1746031746031746E-4</v>
      </c>
      <c r="E5" s="34">
        <f t="shared" si="1"/>
        <v>-7.4824949484610277E-3</v>
      </c>
    </row>
    <row r="6" spans="1:5" x14ac:dyDescent="0.25">
      <c r="A6" s="33">
        <v>40914</v>
      </c>
      <c r="B6">
        <v>412.95</v>
      </c>
      <c r="C6" s="34">
        <f t="shared" si="0"/>
        <v>-6.6153476064469974E-3</v>
      </c>
      <c r="D6" s="34">
        <f>Nifty!$H$4</f>
        <v>3.1746031746031746E-4</v>
      </c>
      <c r="E6" s="34">
        <f t="shared" si="1"/>
        <v>-6.9328079239073144E-3</v>
      </c>
    </row>
    <row r="7" spans="1:5" x14ac:dyDescent="0.25">
      <c r="A7" s="33">
        <v>40915</v>
      </c>
      <c r="B7">
        <v>405.85</v>
      </c>
      <c r="C7" s="34">
        <f t="shared" si="0"/>
        <v>-1.719336481414202E-2</v>
      </c>
      <c r="D7" s="34">
        <f>Nifty!$H$4</f>
        <v>3.1746031746031746E-4</v>
      </c>
      <c r="E7" s="34">
        <f t="shared" si="1"/>
        <v>-1.7510825131602337E-2</v>
      </c>
    </row>
    <row r="8" spans="1:5" x14ac:dyDescent="0.25">
      <c r="A8" s="33">
        <v>40917</v>
      </c>
      <c r="B8">
        <v>407</v>
      </c>
      <c r="C8" s="34">
        <f t="shared" si="0"/>
        <v>2.8335591967474372E-3</v>
      </c>
      <c r="D8" s="34">
        <f>Nifty!$H$4</f>
        <v>3.1746031746031746E-4</v>
      </c>
      <c r="E8" s="34">
        <f t="shared" si="1"/>
        <v>2.5160988792871197E-3</v>
      </c>
    </row>
    <row r="9" spans="1:5" x14ac:dyDescent="0.25">
      <c r="A9" s="33">
        <v>40918</v>
      </c>
      <c r="B9">
        <v>404.05</v>
      </c>
      <c r="C9" s="34">
        <f t="shared" si="0"/>
        <v>-7.2481572481571943E-3</v>
      </c>
      <c r="D9" s="34">
        <f>Nifty!$H$4</f>
        <v>3.1746031746031746E-4</v>
      </c>
      <c r="E9" s="34">
        <f t="shared" si="1"/>
        <v>-7.5656175656175113E-3</v>
      </c>
    </row>
    <row r="10" spans="1:5" x14ac:dyDescent="0.25">
      <c r="A10" s="33">
        <v>40919</v>
      </c>
      <c r="B10">
        <v>403.75</v>
      </c>
      <c r="C10" s="34">
        <f t="shared" si="0"/>
        <v>-7.4248236604379514E-4</v>
      </c>
      <c r="D10" s="34">
        <f>Nifty!$H$4</f>
        <v>3.1746031746031746E-4</v>
      </c>
      <c r="E10" s="34">
        <f t="shared" si="1"/>
        <v>-1.0599426835041126E-3</v>
      </c>
    </row>
    <row r="11" spans="1:5" x14ac:dyDescent="0.25">
      <c r="A11" s="33">
        <v>40920</v>
      </c>
      <c r="B11">
        <v>390</v>
      </c>
      <c r="C11" s="34">
        <f t="shared" si="0"/>
        <v>-3.4055727554179516E-2</v>
      </c>
      <c r="D11" s="34">
        <f>Nifty!$H$4</f>
        <v>3.1746031746031746E-4</v>
      </c>
      <c r="E11" s="34">
        <f t="shared" si="1"/>
        <v>-3.4373187871639836E-2</v>
      </c>
    </row>
    <row r="12" spans="1:5" x14ac:dyDescent="0.25">
      <c r="A12" s="33">
        <v>40921</v>
      </c>
      <c r="B12">
        <v>394.4</v>
      </c>
      <c r="C12" s="34">
        <f t="shared" si="0"/>
        <v>1.1282051282051286E-2</v>
      </c>
      <c r="D12" s="34">
        <f>Nifty!$H$4</f>
        <v>3.1746031746031746E-4</v>
      </c>
      <c r="E12" s="34">
        <f t="shared" si="1"/>
        <v>1.0964590964590969E-2</v>
      </c>
    </row>
    <row r="13" spans="1:5" x14ac:dyDescent="0.25">
      <c r="A13" s="33">
        <v>40924</v>
      </c>
      <c r="B13">
        <v>398.5</v>
      </c>
      <c r="C13" s="34">
        <f t="shared" si="0"/>
        <v>1.0395537525355047E-2</v>
      </c>
      <c r="D13" s="34">
        <f>Nifty!$H$4</f>
        <v>3.1746031746031746E-4</v>
      </c>
      <c r="E13" s="34">
        <f t="shared" si="1"/>
        <v>1.007807720789473E-2</v>
      </c>
    </row>
    <row r="14" spans="1:5" x14ac:dyDescent="0.25">
      <c r="A14" s="33">
        <v>40925</v>
      </c>
      <c r="B14">
        <v>406</v>
      </c>
      <c r="C14" s="34">
        <f t="shared" si="0"/>
        <v>1.8820577164366359E-2</v>
      </c>
      <c r="D14" s="34">
        <f>Nifty!$H$4</f>
        <v>3.1746031746031746E-4</v>
      </c>
      <c r="E14" s="34">
        <f t="shared" si="1"/>
        <v>1.8503116846906042E-2</v>
      </c>
    </row>
    <row r="15" spans="1:5" x14ac:dyDescent="0.25">
      <c r="A15" s="33">
        <v>40926</v>
      </c>
      <c r="B15">
        <v>410.1</v>
      </c>
      <c r="C15" s="34">
        <f t="shared" si="0"/>
        <v>1.0098522167487634E-2</v>
      </c>
      <c r="D15" s="34">
        <f>Nifty!$H$4</f>
        <v>3.1746031746031746E-4</v>
      </c>
      <c r="E15" s="34">
        <f t="shared" si="1"/>
        <v>9.7810618500273165E-3</v>
      </c>
    </row>
    <row r="16" spans="1:5" x14ac:dyDescent="0.25">
      <c r="A16" s="33">
        <v>40927</v>
      </c>
      <c r="B16">
        <v>406</v>
      </c>
      <c r="C16" s="34">
        <f t="shared" si="0"/>
        <v>-9.9975615703487009E-3</v>
      </c>
      <c r="D16" s="34">
        <f>Nifty!$H$4</f>
        <v>3.1746031746031746E-4</v>
      </c>
      <c r="E16" s="34">
        <f t="shared" si="1"/>
        <v>-1.0315021887809018E-2</v>
      </c>
    </row>
    <row r="17" spans="1:5" x14ac:dyDescent="0.25">
      <c r="A17" s="33">
        <v>40928</v>
      </c>
      <c r="B17">
        <v>415</v>
      </c>
      <c r="C17" s="34">
        <f t="shared" si="0"/>
        <v>2.2167487684729092E-2</v>
      </c>
      <c r="D17" s="34">
        <f>Nifty!$H$4</f>
        <v>3.1746031746031746E-4</v>
      </c>
      <c r="E17" s="34">
        <f t="shared" si="1"/>
        <v>2.1850027367268775E-2</v>
      </c>
    </row>
    <row r="18" spans="1:5" x14ac:dyDescent="0.25">
      <c r="A18" s="33">
        <v>40931</v>
      </c>
      <c r="B18">
        <v>410.75</v>
      </c>
      <c r="C18" s="34">
        <f t="shared" si="0"/>
        <v>-1.0240963855421725E-2</v>
      </c>
      <c r="D18" s="34">
        <f>Nifty!$H$4</f>
        <v>3.1746031746031746E-4</v>
      </c>
      <c r="E18" s="34">
        <f t="shared" si="1"/>
        <v>-1.0558424172882042E-2</v>
      </c>
    </row>
    <row r="19" spans="1:5" x14ac:dyDescent="0.25">
      <c r="A19" s="33">
        <v>40932</v>
      </c>
      <c r="B19">
        <v>415.75</v>
      </c>
      <c r="C19" s="34">
        <f t="shared" si="0"/>
        <v>1.2172854534388211E-2</v>
      </c>
      <c r="D19" s="34">
        <f>Nifty!$H$4</f>
        <v>3.1746031746031746E-4</v>
      </c>
      <c r="E19" s="34">
        <f t="shared" si="1"/>
        <v>1.1855394216927894E-2</v>
      </c>
    </row>
    <row r="20" spans="1:5" x14ac:dyDescent="0.25">
      <c r="A20" s="33">
        <v>40933</v>
      </c>
      <c r="B20">
        <v>419.05</v>
      </c>
      <c r="C20" s="34">
        <f t="shared" si="0"/>
        <v>7.9374624173180752E-3</v>
      </c>
      <c r="D20" s="34">
        <f>Nifty!$H$4</f>
        <v>3.1746031746031746E-4</v>
      </c>
      <c r="E20" s="34">
        <f t="shared" si="1"/>
        <v>7.6200020998577582E-3</v>
      </c>
    </row>
    <row r="21" spans="1:5" x14ac:dyDescent="0.25">
      <c r="A21" s="33">
        <v>40935</v>
      </c>
      <c r="B21">
        <v>421</v>
      </c>
      <c r="C21" s="34">
        <f t="shared" si="0"/>
        <v>4.6533826512349385E-3</v>
      </c>
      <c r="D21" s="34">
        <f>Nifty!$H$4</f>
        <v>3.1746031746031746E-4</v>
      </c>
      <c r="E21" s="34">
        <f t="shared" si="1"/>
        <v>4.3359223337746215E-3</v>
      </c>
    </row>
    <row r="22" spans="1:5" x14ac:dyDescent="0.25">
      <c r="A22" s="33">
        <v>40938</v>
      </c>
      <c r="B22">
        <v>415.1</v>
      </c>
      <c r="C22" s="34">
        <f t="shared" si="0"/>
        <v>-1.4014251781472642E-2</v>
      </c>
      <c r="D22" s="34">
        <f>Nifty!$H$4</f>
        <v>3.1746031746031746E-4</v>
      </c>
      <c r="E22" s="34">
        <f t="shared" si="1"/>
        <v>-1.4331712098932959E-2</v>
      </c>
    </row>
    <row r="23" spans="1:5" x14ac:dyDescent="0.25">
      <c r="A23" s="33">
        <v>40939</v>
      </c>
      <c r="B23">
        <v>410.55</v>
      </c>
      <c r="C23" s="34">
        <f t="shared" si="0"/>
        <v>-1.0961214165261413E-2</v>
      </c>
      <c r="D23" s="34">
        <f>Nifty!$H$4</f>
        <v>3.1746031746031746E-4</v>
      </c>
      <c r="E23" s="34">
        <f t="shared" si="1"/>
        <v>-1.127867448272173E-2</v>
      </c>
    </row>
    <row r="24" spans="1:5" x14ac:dyDescent="0.25">
      <c r="A24" s="33">
        <v>40940</v>
      </c>
      <c r="B24">
        <v>413</v>
      </c>
      <c r="C24" s="34">
        <f t="shared" si="0"/>
        <v>5.9676044330776445E-3</v>
      </c>
      <c r="D24" s="34">
        <f>Nifty!$H$4</f>
        <v>3.1746031746031746E-4</v>
      </c>
      <c r="E24" s="34">
        <f t="shared" si="1"/>
        <v>5.6501441156173275E-3</v>
      </c>
    </row>
    <row r="25" spans="1:5" x14ac:dyDescent="0.25">
      <c r="A25" s="33">
        <v>40941</v>
      </c>
      <c r="B25">
        <v>413</v>
      </c>
      <c r="C25" s="34">
        <f t="shared" si="0"/>
        <v>0</v>
      </c>
      <c r="D25" s="34">
        <f>Nifty!$H$4</f>
        <v>3.1746031746031746E-4</v>
      </c>
      <c r="E25" s="34">
        <f t="shared" si="1"/>
        <v>-3.1746031746031746E-4</v>
      </c>
    </row>
    <row r="26" spans="1:5" x14ac:dyDescent="0.25">
      <c r="A26" s="33">
        <v>40942</v>
      </c>
      <c r="B26">
        <v>426</v>
      </c>
      <c r="C26" s="34">
        <f t="shared" si="0"/>
        <v>3.14769975786926E-2</v>
      </c>
      <c r="D26" s="34">
        <f>Nifty!$H$4</f>
        <v>3.1746031746031746E-4</v>
      </c>
      <c r="E26" s="34">
        <f t="shared" si="1"/>
        <v>3.1159537261232283E-2</v>
      </c>
    </row>
    <row r="27" spans="1:5" x14ac:dyDescent="0.25">
      <c r="A27" s="33">
        <v>40945</v>
      </c>
      <c r="B27">
        <v>429.95</v>
      </c>
      <c r="C27" s="34">
        <f t="shared" si="0"/>
        <v>9.2723004694834632E-3</v>
      </c>
      <c r="D27" s="34">
        <f>Nifty!$H$4</f>
        <v>3.1746031746031746E-4</v>
      </c>
      <c r="E27" s="34">
        <f t="shared" si="1"/>
        <v>8.9548401520231462E-3</v>
      </c>
    </row>
    <row r="28" spans="1:5" x14ac:dyDescent="0.25">
      <c r="A28" s="33">
        <v>40946</v>
      </c>
      <c r="B28">
        <v>427.15</v>
      </c>
      <c r="C28" s="34">
        <f t="shared" si="0"/>
        <v>-6.5123851610652261E-3</v>
      </c>
      <c r="D28" s="34">
        <f>Nifty!$H$4</f>
        <v>3.1746031746031746E-4</v>
      </c>
      <c r="E28" s="34">
        <f t="shared" si="1"/>
        <v>-6.8298454785255432E-3</v>
      </c>
    </row>
    <row r="29" spans="1:5" x14ac:dyDescent="0.25">
      <c r="A29" s="33">
        <v>40947</v>
      </c>
      <c r="B29">
        <v>428.35</v>
      </c>
      <c r="C29" s="34">
        <f t="shared" si="0"/>
        <v>2.809317569940406E-3</v>
      </c>
      <c r="D29" s="34">
        <f>Nifty!$H$4</f>
        <v>3.1746031746031746E-4</v>
      </c>
      <c r="E29" s="34">
        <f t="shared" si="1"/>
        <v>2.4918572524800886E-3</v>
      </c>
    </row>
    <row r="30" spans="1:5" x14ac:dyDescent="0.25">
      <c r="A30" s="33">
        <v>40948</v>
      </c>
      <c r="B30">
        <v>430.45</v>
      </c>
      <c r="C30" s="34">
        <f t="shared" si="0"/>
        <v>4.9025329753704661E-3</v>
      </c>
      <c r="D30" s="34">
        <f>Nifty!$H$4</f>
        <v>3.1746031746031746E-4</v>
      </c>
      <c r="E30" s="34">
        <f t="shared" si="1"/>
        <v>4.585072657910149E-3</v>
      </c>
    </row>
    <row r="31" spans="1:5" x14ac:dyDescent="0.25">
      <c r="A31" s="33">
        <v>40949</v>
      </c>
      <c r="B31">
        <v>445</v>
      </c>
      <c r="C31" s="34">
        <f t="shared" si="0"/>
        <v>3.3801835288651549E-2</v>
      </c>
      <c r="D31" s="34">
        <f>Nifty!$H$4</f>
        <v>3.1746031746031746E-4</v>
      </c>
      <c r="E31" s="34">
        <f t="shared" si="1"/>
        <v>3.3484374971191229E-2</v>
      </c>
    </row>
    <row r="32" spans="1:5" x14ac:dyDescent="0.25">
      <c r="A32" s="33">
        <v>40952</v>
      </c>
      <c r="B32">
        <v>446</v>
      </c>
      <c r="C32" s="34">
        <f t="shared" si="0"/>
        <v>2.2471910112360494E-3</v>
      </c>
      <c r="D32" s="34">
        <f>Nifty!$H$4</f>
        <v>3.1746031746031746E-4</v>
      </c>
      <c r="E32" s="34">
        <f t="shared" si="1"/>
        <v>1.9297306937757319E-3</v>
      </c>
    </row>
    <row r="33" spans="1:5" x14ac:dyDescent="0.25">
      <c r="A33" s="33">
        <v>40953</v>
      </c>
      <c r="B33">
        <v>434.9</v>
      </c>
      <c r="C33" s="34">
        <f t="shared" si="0"/>
        <v>-2.4887892376681653E-2</v>
      </c>
      <c r="D33" s="34">
        <f>Nifty!$H$4</f>
        <v>3.1746031746031746E-4</v>
      </c>
      <c r="E33" s="34">
        <f t="shared" si="1"/>
        <v>-2.520535269414197E-2</v>
      </c>
    </row>
    <row r="34" spans="1:5" x14ac:dyDescent="0.25">
      <c r="A34" s="33">
        <v>40954</v>
      </c>
      <c r="B34">
        <v>436.1</v>
      </c>
      <c r="C34" s="34">
        <f t="shared" si="0"/>
        <v>2.7592550011497075E-3</v>
      </c>
      <c r="D34" s="34">
        <f>Nifty!$H$4</f>
        <v>3.1746031746031746E-4</v>
      </c>
      <c r="E34" s="34">
        <f t="shared" si="1"/>
        <v>2.44179468368939E-3</v>
      </c>
    </row>
    <row r="35" spans="1:5" x14ac:dyDescent="0.25">
      <c r="A35" s="33">
        <v>40955</v>
      </c>
      <c r="B35">
        <v>435</v>
      </c>
      <c r="C35" s="34">
        <f t="shared" si="0"/>
        <v>-2.5223572575098219E-3</v>
      </c>
      <c r="D35" s="34">
        <f>Nifty!$H$4</f>
        <v>3.1746031746031746E-4</v>
      </c>
      <c r="E35" s="34">
        <f t="shared" si="1"/>
        <v>-2.8398175749701393E-3</v>
      </c>
    </row>
    <row r="36" spans="1:5" x14ac:dyDescent="0.25">
      <c r="A36" s="33">
        <v>40956</v>
      </c>
      <c r="B36">
        <v>445</v>
      </c>
      <c r="C36" s="34">
        <f t="shared" si="0"/>
        <v>2.2988505747126409E-2</v>
      </c>
      <c r="D36" s="34">
        <f>Nifty!$H$4</f>
        <v>3.1746031746031746E-4</v>
      </c>
      <c r="E36" s="34">
        <f t="shared" si="1"/>
        <v>2.2671045429666092E-2</v>
      </c>
    </row>
    <row r="37" spans="1:5" x14ac:dyDescent="0.25">
      <c r="A37" s="33">
        <v>40960</v>
      </c>
      <c r="B37">
        <v>447.1</v>
      </c>
      <c r="C37" s="34">
        <f t="shared" si="0"/>
        <v>4.719101123595637E-3</v>
      </c>
      <c r="D37" s="34">
        <f>Nifty!$H$4</f>
        <v>3.1746031746031746E-4</v>
      </c>
      <c r="E37" s="34">
        <f t="shared" si="1"/>
        <v>4.40164080613532E-3</v>
      </c>
    </row>
    <row r="38" spans="1:5" x14ac:dyDescent="0.25">
      <c r="A38" s="33">
        <v>40961</v>
      </c>
      <c r="B38">
        <v>443.7</v>
      </c>
      <c r="C38" s="34">
        <f t="shared" si="0"/>
        <v>-7.6045627376426506E-3</v>
      </c>
      <c r="D38" s="34">
        <f>Nifty!$H$4</f>
        <v>3.1746031746031746E-4</v>
      </c>
      <c r="E38" s="34">
        <f t="shared" si="1"/>
        <v>-7.9220230551029676E-3</v>
      </c>
    </row>
    <row r="39" spans="1:5" x14ac:dyDescent="0.25">
      <c r="A39" s="33">
        <v>40962</v>
      </c>
      <c r="B39">
        <v>439.25</v>
      </c>
      <c r="C39" s="34">
        <f t="shared" si="0"/>
        <v>-1.0029299075952181E-2</v>
      </c>
      <c r="D39" s="34">
        <f>Nifty!$H$4</f>
        <v>3.1746031746031746E-4</v>
      </c>
      <c r="E39" s="34">
        <f t="shared" si="1"/>
        <v>-1.0346759393412498E-2</v>
      </c>
    </row>
    <row r="40" spans="1:5" x14ac:dyDescent="0.25">
      <c r="A40" s="33">
        <v>40963</v>
      </c>
      <c r="B40">
        <v>440.1</v>
      </c>
      <c r="C40" s="34">
        <f t="shared" si="0"/>
        <v>1.9351166761525374E-3</v>
      </c>
      <c r="D40" s="34">
        <f>Nifty!$H$4</f>
        <v>3.1746031746031746E-4</v>
      </c>
      <c r="E40" s="34">
        <f t="shared" si="1"/>
        <v>1.6176563586922199E-3</v>
      </c>
    </row>
    <row r="41" spans="1:5" x14ac:dyDescent="0.25">
      <c r="A41" s="33">
        <v>40966</v>
      </c>
      <c r="B41">
        <v>440</v>
      </c>
      <c r="C41" s="34">
        <f t="shared" si="0"/>
        <v>-2.2722108611683556E-4</v>
      </c>
      <c r="D41" s="34">
        <f>Nifty!$H$4</f>
        <v>3.1746031746031746E-4</v>
      </c>
      <c r="E41" s="34">
        <f t="shared" si="1"/>
        <v>-5.4468140357715302E-4</v>
      </c>
    </row>
    <row r="42" spans="1:5" x14ac:dyDescent="0.25">
      <c r="A42" s="33">
        <v>40967</v>
      </c>
      <c r="B42">
        <v>424.9</v>
      </c>
      <c r="C42" s="34">
        <f t="shared" si="0"/>
        <v>-3.4318181818181914E-2</v>
      </c>
      <c r="D42" s="34">
        <f>Nifty!$H$4</f>
        <v>3.1746031746031746E-4</v>
      </c>
      <c r="E42" s="34">
        <f t="shared" si="1"/>
        <v>-3.4635642135642235E-2</v>
      </c>
    </row>
    <row r="43" spans="1:5" x14ac:dyDescent="0.25">
      <c r="A43" s="33">
        <v>40968</v>
      </c>
      <c r="B43">
        <v>424.65</v>
      </c>
      <c r="C43" s="34">
        <f t="shared" si="0"/>
        <v>-5.8837373499642798E-4</v>
      </c>
      <c r="D43" s="34">
        <f>Nifty!$H$4</f>
        <v>3.1746031746031746E-4</v>
      </c>
      <c r="E43" s="34">
        <f t="shared" si="1"/>
        <v>-9.0583405245674544E-4</v>
      </c>
    </row>
    <row r="44" spans="1:5" x14ac:dyDescent="0.25">
      <c r="A44" s="33">
        <v>40969</v>
      </c>
      <c r="B44">
        <v>433</v>
      </c>
      <c r="C44" s="34">
        <f t="shared" si="0"/>
        <v>1.9663252089956451E-2</v>
      </c>
      <c r="D44" s="34">
        <f>Nifty!$H$4</f>
        <v>3.1746031746031746E-4</v>
      </c>
      <c r="E44" s="34">
        <f t="shared" si="1"/>
        <v>1.9345791772496134E-2</v>
      </c>
    </row>
    <row r="45" spans="1:5" x14ac:dyDescent="0.25">
      <c r="A45" s="33">
        <v>40970</v>
      </c>
      <c r="B45">
        <v>426.1</v>
      </c>
      <c r="C45" s="34">
        <f t="shared" si="0"/>
        <v>-1.5935334872979157E-2</v>
      </c>
      <c r="D45" s="34">
        <f>Nifty!$H$4</f>
        <v>3.1746031746031746E-4</v>
      </c>
      <c r="E45" s="34">
        <f t="shared" si="1"/>
        <v>-1.6252795190439474E-2</v>
      </c>
    </row>
    <row r="46" spans="1:5" x14ac:dyDescent="0.25">
      <c r="A46" s="33">
        <v>40971</v>
      </c>
      <c r="B46">
        <v>429.9</v>
      </c>
      <c r="C46" s="34">
        <f t="shared" si="0"/>
        <v>8.9180943440505533E-3</v>
      </c>
      <c r="D46" s="34">
        <f>Nifty!$H$4</f>
        <v>3.1746031746031746E-4</v>
      </c>
      <c r="E46" s="34">
        <f t="shared" si="1"/>
        <v>8.6006340265902363E-3</v>
      </c>
    </row>
    <row r="47" spans="1:5" x14ac:dyDescent="0.25">
      <c r="A47" s="33">
        <v>40973</v>
      </c>
      <c r="B47">
        <v>425</v>
      </c>
      <c r="C47" s="34">
        <f t="shared" si="0"/>
        <v>-1.1397999534775494E-2</v>
      </c>
      <c r="D47" s="34">
        <f>Nifty!$H$4</f>
        <v>3.1746031746031746E-4</v>
      </c>
      <c r="E47" s="34">
        <f t="shared" si="1"/>
        <v>-1.1715459852235811E-2</v>
      </c>
    </row>
    <row r="48" spans="1:5" x14ac:dyDescent="0.25">
      <c r="A48" s="33">
        <v>40974</v>
      </c>
      <c r="B48">
        <v>427.9</v>
      </c>
      <c r="C48" s="34">
        <f t="shared" si="0"/>
        <v>6.8235294117646728E-3</v>
      </c>
      <c r="D48" s="34">
        <f>Nifty!$H$4</f>
        <v>3.1746031746031746E-4</v>
      </c>
      <c r="E48" s="34">
        <f t="shared" si="1"/>
        <v>6.5060690943043557E-3</v>
      </c>
    </row>
    <row r="49" spans="1:5" x14ac:dyDescent="0.25">
      <c r="A49" s="33">
        <v>40975</v>
      </c>
      <c r="B49">
        <v>428.8</v>
      </c>
      <c r="C49" s="34">
        <f t="shared" si="0"/>
        <v>2.1032951624211371E-3</v>
      </c>
      <c r="D49" s="34">
        <f>Nifty!$H$4</f>
        <v>3.1746031746031746E-4</v>
      </c>
      <c r="E49" s="34">
        <f t="shared" si="1"/>
        <v>1.7858348449608197E-3</v>
      </c>
    </row>
    <row r="50" spans="1:5" x14ac:dyDescent="0.25">
      <c r="A50" s="33">
        <v>40977</v>
      </c>
      <c r="B50">
        <v>443.5</v>
      </c>
      <c r="C50" s="34">
        <f t="shared" si="0"/>
        <v>3.4281716417910335E-2</v>
      </c>
      <c r="D50" s="34">
        <f>Nifty!$H$4</f>
        <v>3.1746031746031746E-4</v>
      </c>
      <c r="E50" s="34">
        <f t="shared" si="1"/>
        <v>3.3964256100450015E-2</v>
      </c>
    </row>
    <row r="51" spans="1:5" x14ac:dyDescent="0.25">
      <c r="A51" s="33">
        <v>40980</v>
      </c>
      <c r="B51">
        <v>435.1</v>
      </c>
      <c r="C51" s="34">
        <f t="shared" si="0"/>
        <v>-1.8940248027057405E-2</v>
      </c>
      <c r="D51" s="34">
        <f>Nifty!$H$4</f>
        <v>3.1746031746031746E-4</v>
      </c>
      <c r="E51" s="34">
        <f t="shared" si="1"/>
        <v>-1.9257708344517722E-2</v>
      </c>
    </row>
    <row r="52" spans="1:5" x14ac:dyDescent="0.25">
      <c r="A52" s="33">
        <v>40981</v>
      </c>
      <c r="B52">
        <v>432.1</v>
      </c>
      <c r="C52" s="34">
        <f t="shared" si="0"/>
        <v>-6.8949666743277627E-3</v>
      </c>
      <c r="D52" s="34">
        <f>Nifty!$H$4</f>
        <v>3.1746031746031746E-4</v>
      </c>
      <c r="E52" s="34">
        <f t="shared" si="1"/>
        <v>-7.2124269917880797E-3</v>
      </c>
    </row>
    <row r="53" spans="1:5" x14ac:dyDescent="0.25">
      <c r="A53" s="33">
        <v>40982</v>
      </c>
      <c r="B53">
        <v>431.55</v>
      </c>
      <c r="C53" s="34">
        <f t="shared" si="0"/>
        <v>-1.2728535061328206E-3</v>
      </c>
      <c r="D53" s="34">
        <f>Nifty!$H$4</f>
        <v>3.1746031746031746E-4</v>
      </c>
      <c r="E53" s="34">
        <f t="shared" si="1"/>
        <v>-1.590313823593138E-3</v>
      </c>
    </row>
    <row r="54" spans="1:5" x14ac:dyDescent="0.25">
      <c r="A54" s="33">
        <v>40983</v>
      </c>
      <c r="B54">
        <v>421.85</v>
      </c>
      <c r="C54" s="34">
        <f t="shared" si="0"/>
        <v>-2.2477117367628252E-2</v>
      </c>
      <c r="D54" s="34">
        <f>Nifty!$H$4</f>
        <v>3.1746031746031746E-4</v>
      </c>
      <c r="E54" s="34">
        <f t="shared" si="1"/>
        <v>-2.2794577685088569E-2</v>
      </c>
    </row>
    <row r="55" spans="1:5" x14ac:dyDescent="0.25">
      <c r="A55" s="33">
        <v>40984</v>
      </c>
      <c r="B55">
        <v>430.1</v>
      </c>
      <c r="C55" s="34">
        <f t="shared" si="0"/>
        <v>1.9556714471968606E-2</v>
      </c>
      <c r="D55" s="34">
        <f>Nifty!$H$4</f>
        <v>3.1746031746031746E-4</v>
      </c>
      <c r="E55" s="34">
        <f t="shared" si="1"/>
        <v>1.9239254154508289E-2</v>
      </c>
    </row>
    <row r="56" spans="1:5" x14ac:dyDescent="0.25">
      <c r="A56" s="33">
        <v>40987</v>
      </c>
      <c r="B56">
        <v>425.15</v>
      </c>
      <c r="C56" s="34">
        <f t="shared" si="0"/>
        <v>-1.1508951406649759E-2</v>
      </c>
      <c r="D56" s="34">
        <f>Nifty!$H$4</f>
        <v>3.1746031746031746E-4</v>
      </c>
      <c r="E56" s="34">
        <f t="shared" si="1"/>
        <v>-1.1826411724110076E-2</v>
      </c>
    </row>
    <row r="57" spans="1:5" x14ac:dyDescent="0.25">
      <c r="A57" s="33">
        <v>40988</v>
      </c>
      <c r="B57">
        <v>425.25</v>
      </c>
      <c r="C57" s="34">
        <f t="shared" si="0"/>
        <v>2.3521110196411676E-4</v>
      </c>
      <c r="D57" s="34">
        <f>Nifty!$H$4</f>
        <v>3.1746031746031746E-4</v>
      </c>
      <c r="E57" s="34">
        <f t="shared" si="1"/>
        <v>-8.2249215496200696E-5</v>
      </c>
    </row>
    <row r="58" spans="1:5" x14ac:dyDescent="0.25">
      <c r="A58" s="33">
        <v>40989</v>
      </c>
      <c r="B58">
        <v>428.5</v>
      </c>
      <c r="C58" s="34">
        <f t="shared" si="0"/>
        <v>7.6425631981187347E-3</v>
      </c>
      <c r="D58" s="34">
        <f>Nifty!$H$4</f>
        <v>3.1746031746031746E-4</v>
      </c>
      <c r="E58" s="34">
        <f t="shared" si="1"/>
        <v>7.3251028806584177E-3</v>
      </c>
    </row>
    <row r="59" spans="1:5" x14ac:dyDescent="0.25">
      <c r="A59" s="33">
        <v>40990</v>
      </c>
      <c r="B59">
        <v>428.8</v>
      </c>
      <c r="C59" s="34">
        <f t="shared" si="0"/>
        <v>7.0011668611447142E-4</v>
      </c>
      <c r="D59" s="34">
        <f>Nifty!$H$4</f>
        <v>3.1746031746031746E-4</v>
      </c>
      <c r="E59" s="34">
        <f t="shared" si="1"/>
        <v>3.8265636865415396E-4</v>
      </c>
    </row>
    <row r="60" spans="1:5" x14ac:dyDescent="0.25">
      <c r="A60" s="33">
        <v>40991</v>
      </c>
      <c r="B60">
        <v>420.25</v>
      </c>
      <c r="C60" s="34">
        <f t="shared" si="0"/>
        <v>-1.9939365671641784E-2</v>
      </c>
      <c r="D60" s="34">
        <f>Nifty!$H$4</f>
        <v>3.1746031746031746E-4</v>
      </c>
      <c r="E60" s="34">
        <f t="shared" si="1"/>
        <v>-2.0256825989102101E-2</v>
      </c>
    </row>
    <row r="61" spans="1:5" x14ac:dyDescent="0.25">
      <c r="A61" s="33">
        <v>40994</v>
      </c>
      <c r="B61">
        <v>425</v>
      </c>
      <c r="C61" s="34">
        <f t="shared" si="0"/>
        <v>1.1302795954788891E-2</v>
      </c>
      <c r="D61" s="34">
        <f>Nifty!$H$4</f>
        <v>3.1746031746031746E-4</v>
      </c>
      <c r="E61" s="34">
        <f t="shared" si="1"/>
        <v>1.0985335637328574E-2</v>
      </c>
    </row>
    <row r="62" spans="1:5" x14ac:dyDescent="0.25">
      <c r="A62" s="33">
        <v>40995</v>
      </c>
      <c r="B62">
        <v>424.05</v>
      </c>
      <c r="C62" s="34">
        <f t="shared" si="0"/>
        <v>-2.235294117647002E-3</v>
      </c>
      <c r="D62" s="34">
        <f>Nifty!$H$4</f>
        <v>3.1746031746031746E-4</v>
      </c>
      <c r="E62" s="34">
        <f t="shared" si="1"/>
        <v>-2.5527544351073195E-3</v>
      </c>
    </row>
    <row r="63" spans="1:5" x14ac:dyDescent="0.25">
      <c r="A63" s="33">
        <v>40996</v>
      </c>
      <c r="B63">
        <v>427</v>
      </c>
      <c r="C63" s="34">
        <f t="shared" si="0"/>
        <v>6.9567268010848338E-3</v>
      </c>
      <c r="D63" s="34">
        <f>Nifty!$H$4</f>
        <v>3.1746031746031746E-4</v>
      </c>
      <c r="E63" s="34">
        <f t="shared" si="1"/>
        <v>6.6392664836245167E-3</v>
      </c>
    </row>
    <row r="64" spans="1:5" x14ac:dyDescent="0.25">
      <c r="A64" s="33">
        <v>40997</v>
      </c>
      <c r="B64">
        <v>428.85</v>
      </c>
      <c r="C64" s="34">
        <f t="shared" si="0"/>
        <v>4.3325526932085356E-3</v>
      </c>
      <c r="D64" s="34">
        <f>Nifty!$H$4</f>
        <v>3.1746031746031746E-4</v>
      </c>
      <c r="E64" s="34">
        <f t="shared" si="1"/>
        <v>4.0150923757482186E-3</v>
      </c>
    </row>
    <row r="65" spans="1:5" x14ac:dyDescent="0.25">
      <c r="A65" s="33">
        <v>40998</v>
      </c>
      <c r="B65">
        <v>435.3</v>
      </c>
      <c r="C65" s="34">
        <f t="shared" si="0"/>
        <v>1.5040223854494661E-2</v>
      </c>
      <c r="D65" s="34">
        <f>Nifty!$H$4</f>
        <v>3.1746031746031746E-4</v>
      </c>
      <c r="E65" s="34">
        <f t="shared" si="1"/>
        <v>1.4722763537034344E-2</v>
      </c>
    </row>
    <row r="66" spans="1:5" x14ac:dyDescent="0.25">
      <c r="A66" s="33">
        <v>41001</v>
      </c>
      <c r="B66">
        <v>437.6</v>
      </c>
      <c r="C66" s="34">
        <f t="shared" si="0"/>
        <v>5.2837123822651044E-3</v>
      </c>
      <c r="D66" s="34">
        <f>Nifty!$H$4</f>
        <v>3.1746031746031746E-4</v>
      </c>
      <c r="E66" s="34">
        <f t="shared" si="1"/>
        <v>4.9662520648047874E-3</v>
      </c>
    </row>
    <row r="67" spans="1:5" x14ac:dyDescent="0.25">
      <c r="A67" s="33">
        <v>41002</v>
      </c>
      <c r="B67">
        <v>445.35</v>
      </c>
      <c r="C67" s="34">
        <f t="shared" si="0"/>
        <v>1.7710237659963379E-2</v>
      </c>
      <c r="D67" s="34">
        <f>Nifty!$H$4</f>
        <v>3.1746031746031746E-4</v>
      </c>
      <c r="E67" s="34">
        <f t="shared" si="1"/>
        <v>1.7392777342503062E-2</v>
      </c>
    </row>
    <row r="68" spans="1:5" x14ac:dyDescent="0.25">
      <c r="A68" s="33">
        <v>41003</v>
      </c>
      <c r="B68">
        <v>443</v>
      </c>
      <c r="C68" s="34">
        <f t="shared" ref="C68:C131" si="2">B68/B67 -1</f>
        <v>-5.2767486246773077E-3</v>
      </c>
      <c r="D68" s="34">
        <f>Nifty!$H$4</f>
        <v>3.1746031746031746E-4</v>
      </c>
      <c r="E68" s="34">
        <f t="shared" ref="E68:E131" si="3">C68-D68</f>
        <v>-5.5942089421376247E-3</v>
      </c>
    </row>
    <row r="69" spans="1:5" x14ac:dyDescent="0.25">
      <c r="A69" s="33">
        <v>41008</v>
      </c>
      <c r="B69">
        <v>438.55</v>
      </c>
      <c r="C69" s="34">
        <f t="shared" si="2"/>
        <v>-1.0045146726862297E-2</v>
      </c>
      <c r="D69" s="34">
        <f>Nifty!$H$4</f>
        <v>3.1746031746031746E-4</v>
      </c>
      <c r="E69" s="34">
        <f t="shared" si="3"/>
        <v>-1.0362607044322614E-2</v>
      </c>
    </row>
    <row r="70" spans="1:5" x14ac:dyDescent="0.25">
      <c r="A70" s="33">
        <v>41009</v>
      </c>
      <c r="B70">
        <v>439.3</v>
      </c>
      <c r="C70" s="34">
        <f t="shared" si="2"/>
        <v>1.7101812792155169E-3</v>
      </c>
      <c r="D70" s="34">
        <f>Nifty!$H$4</f>
        <v>3.1746031746031746E-4</v>
      </c>
      <c r="E70" s="34">
        <f t="shared" si="3"/>
        <v>1.3927209617551994E-3</v>
      </c>
    </row>
    <row r="71" spans="1:5" x14ac:dyDescent="0.25">
      <c r="A71" s="33">
        <v>41010</v>
      </c>
      <c r="B71">
        <v>440.55</v>
      </c>
      <c r="C71" s="34">
        <f t="shared" si="2"/>
        <v>2.8454359207830127E-3</v>
      </c>
      <c r="D71" s="34">
        <f>Nifty!$H$4</f>
        <v>3.1746031746031746E-4</v>
      </c>
      <c r="E71" s="34">
        <f t="shared" si="3"/>
        <v>2.5279756033226952E-3</v>
      </c>
    </row>
    <row r="72" spans="1:5" x14ac:dyDescent="0.25">
      <c r="A72" s="33">
        <v>41011</v>
      </c>
      <c r="B72">
        <v>443.3</v>
      </c>
      <c r="C72" s="34">
        <f t="shared" si="2"/>
        <v>6.2421972534332237E-3</v>
      </c>
      <c r="D72" s="34">
        <f>Nifty!$H$4</f>
        <v>3.1746031746031746E-4</v>
      </c>
      <c r="E72" s="34">
        <f t="shared" si="3"/>
        <v>5.9247369359729067E-3</v>
      </c>
    </row>
    <row r="73" spans="1:5" x14ac:dyDescent="0.25">
      <c r="A73" s="33">
        <v>41012</v>
      </c>
      <c r="B73">
        <v>423.2</v>
      </c>
      <c r="C73" s="34">
        <f t="shared" si="2"/>
        <v>-4.5341755019174479E-2</v>
      </c>
      <c r="D73" s="34">
        <f>Nifty!$H$4</f>
        <v>3.1746031746031746E-4</v>
      </c>
      <c r="E73" s="34">
        <f t="shared" si="3"/>
        <v>-4.5659215336634799E-2</v>
      </c>
    </row>
    <row r="74" spans="1:5" x14ac:dyDescent="0.25">
      <c r="A74" s="33">
        <v>41015</v>
      </c>
      <c r="B74">
        <v>419</v>
      </c>
      <c r="C74" s="34">
        <f t="shared" si="2"/>
        <v>-9.9243856332702496E-3</v>
      </c>
      <c r="D74" s="34">
        <f>Nifty!$H$4</f>
        <v>3.1746031746031746E-4</v>
      </c>
      <c r="E74" s="34">
        <f t="shared" si="3"/>
        <v>-1.0241845950730567E-2</v>
      </c>
    </row>
    <row r="75" spans="1:5" x14ac:dyDescent="0.25">
      <c r="A75" s="33">
        <v>41016</v>
      </c>
      <c r="B75">
        <v>420</v>
      </c>
      <c r="C75" s="34">
        <f t="shared" si="2"/>
        <v>2.3866348448686736E-3</v>
      </c>
      <c r="D75" s="34">
        <f>Nifty!$H$4</f>
        <v>3.1746031746031746E-4</v>
      </c>
      <c r="E75" s="34">
        <f t="shared" si="3"/>
        <v>2.0691745274083562E-3</v>
      </c>
    </row>
    <row r="76" spans="1:5" x14ac:dyDescent="0.25">
      <c r="A76" s="33">
        <v>41017</v>
      </c>
      <c r="B76">
        <v>425.2</v>
      </c>
      <c r="C76" s="34">
        <f t="shared" si="2"/>
        <v>1.2380952380952381E-2</v>
      </c>
      <c r="D76" s="34">
        <f>Nifty!$H$4</f>
        <v>3.1746031746031746E-4</v>
      </c>
      <c r="E76" s="34">
        <f t="shared" si="3"/>
        <v>1.2063492063492064E-2</v>
      </c>
    </row>
    <row r="77" spans="1:5" x14ac:dyDescent="0.25">
      <c r="A77" s="33">
        <v>41018</v>
      </c>
      <c r="B77">
        <v>428.95</v>
      </c>
      <c r="C77" s="34">
        <f t="shared" si="2"/>
        <v>8.8193791157102908E-3</v>
      </c>
      <c r="D77" s="34">
        <f>Nifty!$H$4</f>
        <v>3.1746031746031746E-4</v>
      </c>
      <c r="E77" s="34">
        <f t="shared" si="3"/>
        <v>8.5019187982499737E-3</v>
      </c>
    </row>
    <row r="78" spans="1:5" x14ac:dyDescent="0.25">
      <c r="A78" s="33">
        <v>41019</v>
      </c>
      <c r="B78">
        <v>420.9</v>
      </c>
      <c r="C78" s="34">
        <f t="shared" si="2"/>
        <v>-1.8766756032171594E-2</v>
      </c>
      <c r="D78" s="34">
        <f>Nifty!$H$4</f>
        <v>3.1746031746031746E-4</v>
      </c>
      <c r="E78" s="34">
        <f t="shared" si="3"/>
        <v>-1.9084216349631911E-2</v>
      </c>
    </row>
    <row r="79" spans="1:5" x14ac:dyDescent="0.25">
      <c r="A79" s="33">
        <v>41022</v>
      </c>
      <c r="B79">
        <v>421.1</v>
      </c>
      <c r="C79" s="34">
        <f t="shared" si="2"/>
        <v>4.7517224994075846E-4</v>
      </c>
      <c r="D79" s="34">
        <f>Nifty!$H$4</f>
        <v>3.1746031746031746E-4</v>
      </c>
      <c r="E79" s="34">
        <f t="shared" si="3"/>
        <v>1.57711932480441E-4</v>
      </c>
    </row>
    <row r="80" spans="1:5" x14ac:dyDescent="0.25">
      <c r="A80" s="33">
        <v>41023</v>
      </c>
      <c r="B80">
        <v>426.9</v>
      </c>
      <c r="C80" s="34">
        <f t="shared" si="2"/>
        <v>1.3773450486820105E-2</v>
      </c>
      <c r="D80" s="34">
        <f>Nifty!$H$4</f>
        <v>3.1746031746031746E-4</v>
      </c>
      <c r="E80" s="34">
        <f t="shared" si="3"/>
        <v>1.3455990169359788E-2</v>
      </c>
    </row>
    <row r="81" spans="1:5" x14ac:dyDescent="0.25">
      <c r="A81" s="33">
        <v>41024</v>
      </c>
      <c r="B81">
        <v>423</v>
      </c>
      <c r="C81" s="34">
        <f t="shared" si="2"/>
        <v>-9.1356289529163082E-3</v>
      </c>
      <c r="D81" s="34">
        <f>Nifty!$H$4</f>
        <v>3.1746031746031746E-4</v>
      </c>
      <c r="E81" s="34">
        <f t="shared" si="3"/>
        <v>-9.4530892703766252E-3</v>
      </c>
    </row>
    <row r="82" spans="1:5" x14ac:dyDescent="0.25">
      <c r="A82" s="33">
        <v>41025</v>
      </c>
      <c r="B82">
        <v>412</v>
      </c>
      <c r="C82" s="34">
        <f t="shared" si="2"/>
        <v>-2.6004728132387744E-2</v>
      </c>
      <c r="D82" s="34">
        <f>Nifty!$H$4</f>
        <v>3.1746031746031746E-4</v>
      </c>
      <c r="E82" s="34">
        <f t="shared" si="3"/>
        <v>-2.6322188449848061E-2</v>
      </c>
    </row>
    <row r="83" spans="1:5" x14ac:dyDescent="0.25">
      <c r="A83" s="33">
        <v>41026</v>
      </c>
      <c r="B83">
        <v>402</v>
      </c>
      <c r="C83" s="34">
        <f t="shared" si="2"/>
        <v>-2.4271844660194164E-2</v>
      </c>
      <c r="D83" s="34">
        <f>Nifty!$H$4</f>
        <v>3.1746031746031746E-4</v>
      </c>
      <c r="E83" s="34">
        <f t="shared" si="3"/>
        <v>-2.4589304977654481E-2</v>
      </c>
    </row>
    <row r="84" spans="1:5" x14ac:dyDescent="0.25">
      <c r="A84" s="33">
        <v>41027</v>
      </c>
      <c r="B84">
        <v>408.95</v>
      </c>
      <c r="C84" s="34">
        <f t="shared" si="2"/>
        <v>1.72885572139303E-2</v>
      </c>
      <c r="D84" s="34">
        <f>Nifty!$H$4</f>
        <v>3.1746031746031746E-4</v>
      </c>
      <c r="E84" s="34">
        <f t="shared" si="3"/>
        <v>1.6971096896469983E-2</v>
      </c>
    </row>
    <row r="85" spans="1:5" x14ac:dyDescent="0.25">
      <c r="A85" s="33">
        <v>41029</v>
      </c>
      <c r="B85">
        <v>405.1</v>
      </c>
      <c r="C85" s="34">
        <f t="shared" si="2"/>
        <v>-9.4143538329868326E-3</v>
      </c>
      <c r="D85" s="34">
        <f>Nifty!$H$4</f>
        <v>3.1746031746031746E-4</v>
      </c>
      <c r="E85" s="34">
        <f t="shared" si="3"/>
        <v>-9.7318141504471496E-3</v>
      </c>
    </row>
    <row r="86" spans="1:5" x14ac:dyDescent="0.25">
      <c r="A86" s="33">
        <v>41031</v>
      </c>
      <c r="B86">
        <v>406.2</v>
      </c>
      <c r="C86" s="34">
        <f t="shared" si="2"/>
        <v>2.7153789187854827E-3</v>
      </c>
      <c r="D86" s="34">
        <f>Nifty!$H$4</f>
        <v>3.1746031746031746E-4</v>
      </c>
      <c r="E86" s="34">
        <f t="shared" si="3"/>
        <v>2.3979186013251652E-3</v>
      </c>
    </row>
    <row r="87" spans="1:5" x14ac:dyDescent="0.25">
      <c r="A87" s="33">
        <v>41032</v>
      </c>
      <c r="B87">
        <v>403.8</v>
      </c>
      <c r="C87" s="34">
        <f t="shared" si="2"/>
        <v>-5.9084194977843119E-3</v>
      </c>
      <c r="D87" s="34">
        <f>Nifty!$H$4</f>
        <v>3.1746031746031746E-4</v>
      </c>
      <c r="E87" s="34">
        <f t="shared" si="3"/>
        <v>-6.2258798152446289E-3</v>
      </c>
    </row>
    <row r="88" spans="1:5" x14ac:dyDescent="0.25">
      <c r="A88" s="33">
        <v>41033</v>
      </c>
      <c r="B88">
        <v>412.35</v>
      </c>
      <c r="C88" s="34">
        <f t="shared" si="2"/>
        <v>2.1173848439821619E-2</v>
      </c>
      <c r="D88" s="34">
        <f>Nifty!$H$4</f>
        <v>3.1746031746031746E-4</v>
      </c>
      <c r="E88" s="34">
        <f t="shared" si="3"/>
        <v>2.0856388122361302E-2</v>
      </c>
    </row>
    <row r="89" spans="1:5" x14ac:dyDescent="0.25">
      <c r="A89" s="33">
        <v>41036</v>
      </c>
      <c r="B89">
        <v>409.9</v>
      </c>
      <c r="C89" s="34">
        <f t="shared" si="2"/>
        <v>-5.9415545046684892E-3</v>
      </c>
      <c r="D89" s="34">
        <f>Nifty!$H$4</f>
        <v>3.1746031746031746E-4</v>
      </c>
      <c r="E89" s="34">
        <f t="shared" si="3"/>
        <v>-6.2590148221288062E-3</v>
      </c>
    </row>
    <row r="90" spans="1:5" x14ac:dyDescent="0.25">
      <c r="A90" s="33">
        <v>41037</v>
      </c>
      <c r="B90">
        <v>409.1</v>
      </c>
      <c r="C90" s="34">
        <f t="shared" si="2"/>
        <v>-1.951695535496345E-3</v>
      </c>
      <c r="D90" s="34">
        <f>Nifty!$H$4</f>
        <v>3.1746031746031746E-4</v>
      </c>
      <c r="E90" s="34">
        <f t="shared" si="3"/>
        <v>-2.2691558529566625E-3</v>
      </c>
    </row>
    <row r="91" spans="1:5" x14ac:dyDescent="0.25">
      <c r="A91" s="33">
        <v>41038</v>
      </c>
      <c r="B91">
        <v>401.25</v>
      </c>
      <c r="C91" s="34">
        <f t="shared" si="2"/>
        <v>-1.9188462478611612E-2</v>
      </c>
      <c r="D91" s="34">
        <f>Nifty!$H$4</f>
        <v>3.1746031746031746E-4</v>
      </c>
      <c r="E91" s="34">
        <f t="shared" si="3"/>
        <v>-1.9505922796071929E-2</v>
      </c>
    </row>
    <row r="92" spans="1:5" x14ac:dyDescent="0.25">
      <c r="A92" s="33">
        <v>41039</v>
      </c>
      <c r="B92">
        <v>406.5</v>
      </c>
      <c r="C92" s="34">
        <f t="shared" si="2"/>
        <v>1.3084112149532645E-2</v>
      </c>
      <c r="D92" s="34">
        <f>Nifty!$H$4</f>
        <v>3.1746031746031746E-4</v>
      </c>
      <c r="E92" s="34">
        <f t="shared" si="3"/>
        <v>1.2766651832072328E-2</v>
      </c>
    </row>
    <row r="93" spans="1:5" x14ac:dyDescent="0.25">
      <c r="A93" s="33">
        <v>41040</v>
      </c>
      <c r="B93">
        <v>405</v>
      </c>
      <c r="C93" s="34">
        <f t="shared" si="2"/>
        <v>-3.6900369003689537E-3</v>
      </c>
      <c r="D93" s="34">
        <f>Nifty!$H$4</f>
        <v>3.1746031746031746E-4</v>
      </c>
      <c r="E93" s="34">
        <f t="shared" si="3"/>
        <v>-4.0074972178292707E-3</v>
      </c>
    </row>
    <row r="94" spans="1:5" x14ac:dyDescent="0.25">
      <c r="A94" s="33">
        <v>41043</v>
      </c>
      <c r="B94">
        <v>398.3</v>
      </c>
      <c r="C94" s="34">
        <f t="shared" si="2"/>
        <v>-1.654320987654323E-2</v>
      </c>
      <c r="D94" s="34">
        <f>Nifty!$H$4</f>
        <v>3.1746031746031746E-4</v>
      </c>
      <c r="E94" s="34">
        <f t="shared" si="3"/>
        <v>-1.6860670194003547E-2</v>
      </c>
    </row>
    <row r="95" spans="1:5" x14ac:dyDescent="0.25">
      <c r="A95" s="33">
        <v>41044</v>
      </c>
      <c r="B95">
        <v>398.35</v>
      </c>
      <c r="C95" s="34">
        <f t="shared" si="2"/>
        <v>1.2553351744926111E-4</v>
      </c>
      <c r="D95" s="34">
        <f>Nifty!$H$4</f>
        <v>3.1746031746031746E-4</v>
      </c>
      <c r="E95" s="34">
        <f t="shared" si="3"/>
        <v>-1.9192680001105635E-4</v>
      </c>
    </row>
    <row r="96" spans="1:5" x14ac:dyDescent="0.25">
      <c r="A96" s="33">
        <v>41045</v>
      </c>
      <c r="B96">
        <v>400.25</v>
      </c>
      <c r="C96" s="34">
        <f t="shared" si="2"/>
        <v>4.7696749089995993E-3</v>
      </c>
      <c r="D96" s="34">
        <f>Nifty!$H$4</f>
        <v>3.1746031746031746E-4</v>
      </c>
      <c r="E96" s="34">
        <f t="shared" si="3"/>
        <v>4.4522145915392823E-3</v>
      </c>
    </row>
    <row r="97" spans="1:5" x14ac:dyDescent="0.25">
      <c r="A97" s="33">
        <v>41046</v>
      </c>
      <c r="B97">
        <v>391.05</v>
      </c>
      <c r="C97" s="34">
        <f t="shared" si="2"/>
        <v>-2.2985633978763298E-2</v>
      </c>
      <c r="D97" s="34">
        <f>Nifty!$H$4</f>
        <v>3.1746031746031746E-4</v>
      </c>
      <c r="E97" s="34">
        <f t="shared" si="3"/>
        <v>-2.3303094296223615E-2</v>
      </c>
    </row>
    <row r="98" spans="1:5" x14ac:dyDescent="0.25">
      <c r="A98" s="33">
        <v>41047</v>
      </c>
      <c r="B98">
        <v>382.5</v>
      </c>
      <c r="C98" s="34">
        <f t="shared" si="2"/>
        <v>-2.1864211737629535E-2</v>
      </c>
      <c r="D98" s="34">
        <f>Nifty!$H$4</f>
        <v>3.1746031746031746E-4</v>
      </c>
      <c r="E98" s="34">
        <f t="shared" si="3"/>
        <v>-2.2181672055089852E-2</v>
      </c>
    </row>
    <row r="99" spans="1:5" x14ac:dyDescent="0.25">
      <c r="A99" s="33">
        <v>41050</v>
      </c>
      <c r="B99">
        <v>388.05</v>
      </c>
      <c r="C99" s="34">
        <f t="shared" si="2"/>
        <v>1.4509803921568754E-2</v>
      </c>
      <c r="D99" s="34">
        <f>Nifty!$H$4</f>
        <v>3.1746031746031746E-4</v>
      </c>
      <c r="E99" s="34">
        <f t="shared" si="3"/>
        <v>1.4192343604108437E-2</v>
      </c>
    </row>
    <row r="100" spans="1:5" x14ac:dyDescent="0.25">
      <c r="A100" s="33">
        <v>41051</v>
      </c>
      <c r="B100">
        <v>384.8</v>
      </c>
      <c r="C100" s="34">
        <f t="shared" si="2"/>
        <v>-8.3752093802345051E-3</v>
      </c>
      <c r="D100" s="34">
        <f>Nifty!$H$4</f>
        <v>3.1746031746031746E-4</v>
      </c>
      <c r="E100" s="34">
        <f t="shared" si="3"/>
        <v>-8.6926696976948221E-3</v>
      </c>
    </row>
    <row r="101" spans="1:5" x14ac:dyDescent="0.25">
      <c r="A101" s="33">
        <v>41052</v>
      </c>
      <c r="B101">
        <v>382.5</v>
      </c>
      <c r="C101" s="34">
        <f t="shared" si="2"/>
        <v>-5.9771309771310399E-3</v>
      </c>
      <c r="D101" s="34">
        <f>Nifty!$H$4</f>
        <v>3.1746031746031746E-4</v>
      </c>
      <c r="E101" s="34">
        <f t="shared" si="3"/>
        <v>-6.2945912945913569E-3</v>
      </c>
    </row>
    <row r="102" spans="1:5" x14ac:dyDescent="0.25">
      <c r="A102" s="33">
        <v>41053</v>
      </c>
      <c r="B102">
        <v>385</v>
      </c>
      <c r="C102" s="34">
        <f t="shared" si="2"/>
        <v>6.5359477124182774E-3</v>
      </c>
      <c r="D102" s="34">
        <f>Nifty!$H$4</f>
        <v>3.1746031746031746E-4</v>
      </c>
      <c r="E102" s="34">
        <f t="shared" si="3"/>
        <v>6.2184873949579604E-3</v>
      </c>
    </row>
    <row r="103" spans="1:5" x14ac:dyDescent="0.25">
      <c r="A103" s="33">
        <v>41054</v>
      </c>
      <c r="B103">
        <v>392</v>
      </c>
      <c r="C103" s="34">
        <f t="shared" si="2"/>
        <v>1.8181818181818077E-2</v>
      </c>
      <c r="D103" s="34">
        <f>Nifty!$H$4</f>
        <v>3.1746031746031746E-4</v>
      </c>
      <c r="E103" s="34">
        <f t="shared" si="3"/>
        <v>1.786435786435776E-2</v>
      </c>
    </row>
    <row r="104" spans="1:5" x14ac:dyDescent="0.25">
      <c r="A104" s="33">
        <v>41057</v>
      </c>
      <c r="B104">
        <v>395</v>
      </c>
      <c r="C104" s="34">
        <f t="shared" si="2"/>
        <v>7.6530612244898322E-3</v>
      </c>
      <c r="D104" s="34">
        <f>Nifty!$H$4</f>
        <v>3.1746031746031746E-4</v>
      </c>
      <c r="E104" s="34">
        <f t="shared" si="3"/>
        <v>7.3356009070295151E-3</v>
      </c>
    </row>
    <row r="105" spans="1:5" x14ac:dyDescent="0.25">
      <c r="A105" s="33">
        <v>41058</v>
      </c>
      <c r="B105">
        <v>398.55</v>
      </c>
      <c r="C105" s="34">
        <f t="shared" si="2"/>
        <v>8.987341772151991E-3</v>
      </c>
      <c r="D105" s="34">
        <f>Nifty!$H$4</f>
        <v>3.1746031746031746E-4</v>
      </c>
      <c r="E105" s="34">
        <f t="shared" si="3"/>
        <v>8.669881454691674E-3</v>
      </c>
    </row>
    <row r="106" spans="1:5" x14ac:dyDescent="0.25">
      <c r="A106" s="33">
        <v>41059</v>
      </c>
      <c r="B106">
        <v>405.3</v>
      </c>
      <c r="C106" s="34">
        <f t="shared" si="2"/>
        <v>1.6936394429807988E-2</v>
      </c>
      <c r="D106" s="34">
        <f>Nifty!$H$4</f>
        <v>3.1746031746031746E-4</v>
      </c>
      <c r="E106" s="34">
        <f t="shared" si="3"/>
        <v>1.6618934112347671E-2</v>
      </c>
    </row>
    <row r="107" spans="1:5" x14ac:dyDescent="0.25">
      <c r="A107" s="33">
        <v>41060</v>
      </c>
      <c r="B107">
        <v>405.6</v>
      </c>
      <c r="C107" s="34">
        <f t="shared" si="2"/>
        <v>7.4019245003698053E-4</v>
      </c>
      <c r="D107" s="34">
        <f>Nifty!$H$4</f>
        <v>3.1746031746031746E-4</v>
      </c>
      <c r="E107" s="34">
        <f t="shared" si="3"/>
        <v>4.2273213257666307E-4</v>
      </c>
    </row>
    <row r="108" spans="1:5" x14ac:dyDescent="0.25">
      <c r="A108" s="33">
        <v>41061</v>
      </c>
      <c r="B108">
        <v>404.4</v>
      </c>
      <c r="C108" s="34">
        <f t="shared" si="2"/>
        <v>-2.9585798816569309E-3</v>
      </c>
      <c r="D108" s="34">
        <f>Nifty!$H$4</f>
        <v>3.1746031746031746E-4</v>
      </c>
      <c r="E108" s="34">
        <f t="shared" si="3"/>
        <v>-3.2760401991172483E-3</v>
      </c>
    </row>
    <row r="109" spans="1:5" x14ac:dyDescent="0.25">
      <c r="A109" s="33">
        <v>41064</v>
      </c>
      <c r="B109">
        <v>394.9</v>
      </c>
      <c r="C109" s="34">
        <f t="shared" si="2"/>
        <v>-2.3491592482690393E-2</v>
      </c>
      <c r="D109" s="34">
        <f>Nifty!$H$4</f>
        <v>3.1746031746031746E-4</v>
      </c>
      <c r="E109" s="34">
        <f t="shared" si="3"/>
        <v>-2.380905280015071E-2</v>
      </c>
    </row>
    <row r="110" spans="1:5" x14ac:dyDescent="0.25">
      <c r="A110" s="33">
        <v>41065</v>
      </c>
      <c r="B110">
        <v>396.15</v>
      </c>
      <c r="C110" s="34">
        <f t="shared" si="2"/>
        <v>3.165358318561573E-3</v>
      </c>
      <c r="D110" s="34">
        <f>Nifty!$H$4</f>
        <v>3.1746031746031746E-4</v>
      </c>
      <c r="E110" s="34">
        <f t="shared" si="3"/>
        <v>2.8478980011012556E-3</v>
      </c>
    </row>
    <row r="111" spans="1:5" x14ac:dyDescent="0.25">
      <c r="A111" s="33">
        <v>41066</v>
      </c>
      <c r="B111">
        <v>400.2</v>
      </c>
      <c r="C111" s="34">
        <f t="shared" si="2"/>
        <v>1.0223400227186596E-2</v>
      </c>
      <c r="D111" s="34">
        <f>Nifty!$H$4</f>
        <v>3.1746031746031746E-4</v>
      </c>
      <c r="E111" s="34">
        <f t="shared" si="3"/>
        <v>9.9059399097262794E-3</v>
      </c>
    </row>
    <row r="112" spans="1:5" x14ac:dyDescent="0.25">
      <c r="A112" s="33">
        <v>41067</v>
      </c>
      <c r="B112">
        <v>410.1</v>
      </c>
      <c r="C112" s="34">
        <f t="shared" si="2"/>
        <v>2.473763118440786E-2</v>
      </c>
      <c r="D112" s="34">
        <f>Nifty!$H$4</f>
        <v>3.1746031746031746E-4</v>
      </c>
      <c r="E112" s="34">
        <f t="shared" si="3"/>
        <v>2.4420170866947543E-2</v>
      </c>
    </row>
    <row r="113" spans="1:5" x14ac:dyDescent="0.25">
      <c r="A113" s="33">
        <v>41068</v>
      </c>
      <c r="B113">
        <v>399.5</v>
      </c>
      <c r="C113" s="34">
        <f t="shared" si="2"/>
        <v>-2.584735430382834E-2</v>
      </c>
      <c r="D113" s="34">
        <f>Nifty!$H$4</f>
        <v>3.1746031746031746E-4</v>
      </c>
      <c r="E113" s="34">
        <f t="shared" si="3"/>
        <v>-2.6164814621288657E-2</v>
      </c>
    </row>
    <row r="114" spans="1:5" x14ac:dyDescent="0.25">
      <c r="A114" s="33">
        <v>41071</v>
      </c>
      <c r="B114">
        <v>404</v>
      </c>
      <c r="C114" s="34">
        <f t="shared" si="2"/>
        <v>1.126408010012514E-2</v>
      </c>
      <c r="D114" s="34">
        <f>Nifty!$H$4</f>
        <v>3.1746031746031746E-4</v>
      </c>
      <c r="E114" s="34">
        <f t="shared" si="3"/>
        <v>1.0946619782664823E-2</v>
      </c>
    </row>
    <row r="115" spans="1:5" x14ac:dyDescent="0.25">
      <c r="A115" s="33">
        <v>41072</v>
      </c>
      <c r="B115">
        <v>396</v>
      </c>
      <c r="C115" s="34">
        <f t="shared" si="2"/>
        <v>-1.980198019801982E-2</v>
      </c>
      <c r="D115" s="34">
        <f>Nifty!$H$4</f>
        <v>3.1746031746031746E-4</v>
      </c>
      <c r="E115" s="34">
        <f t="shared" si="3"/>
        <v>-2.0119440515480137E-2</v>
      </c>
    </row>
    <row r="116" spans="1:5" x14ac:dyDescent="0.25">
      <c r="A116" s="33">
        <v>41073</v>
      </c>
      <c r="B116">
        <v>394</v>
      </c>
      <c r="C116" s="34">
        <f t="shared" si="2"/>
        <v>-5.050505050505083E-3</v>
      </c>
      <c r="D116" s="34">
        <f>Nifty!$H$4</f>
        <v>3.1746031746031746E-4</v>
      </c>
      <c r="E116" s="34">
        <f t="shared" si="3"/>
        <v>-5.3679653679654001E-3</v>
      </c>
    </row>
    <row r="117" spans="1:5" x14ac:dyDescent="0.25">
      <c r="A117" s="33">
        <v>41074</v>
      </c>
      <c r="B117">
        <v>398.8</v>
      </c>
      <c r="C117" s="34">
        <f t="shared" si="2"/>
        <v>1.2182741116751217E-2</v>
      </c>
      <c r="D117" s="34">
        <f>Nifty!$H$4</f>
        <v>3.1746031746031746E-4</v>
      </c>
      <c r="E117" s="34">
        <f t="shared" si="3"/>
        <v>1.18652807992909E-2</v>
      </c>
    </row>
    <row r="118" spans="1:5" x14ac:dyDescent="0.25">
      <c r="A118" s="33">
        <v>41075</v>
      </c>
      <c r="B118">
        <v>397</v>
      </c>
      <c r="C118" s="34">
        <f t="shared" si="2"/>
        <v>-4.5135406218655971E-3</v>
      </c>
      <c r="D118" s="34">
        <f>Nifty!$H$4</f>
        <v>3.1746031746031746E-4</v>
      </c>
      <c r="E118" s="34">
        <f t="shared" si="3"/>
        <v>-4.8310009393259142E-3</v>
      </c>
    </row>
    <row r="119" spans="1:5" x14ac:dyDescent="0.25">
      <c r="A119" s="33">
        <v>41078</v>
      </c>
      <c r="B119">
        <v>398.25</v>
      </c>
      <c r="C119" s="34">
        <f t="shared" si="2"/>
        <v>3.1486146095718315E-3</v>
      </c>
      <c r="D119" s="34">
        <f>Nifty!$H$4</f>
        <v>3.1746031746031746E-4</v>
      </c>
      <c r="E119" s="34">
        <f t="shared" si="3"/>
        <v>2.831154292111514E-3</v>
      </c>
    </row>
    <row r="120" spans="1:5" x14ac:dyDescent="0.25">
      <c r="A120" s="33">
        <v>41079</v>
      </c>
      <c r="B120">
        <v>394</v>
      </c>
      <c r="C120" s="34">
        <f t="shared" si="2"/>
        <v>-1.0671688637790333E-2</v>
      </c>
      <c r="D120" s="34">
        <f>Nifty!$H$4</f>
        <v>3.1746031746031746E-4</v>
      </c>
      <c r="E120" s="34">
        <f t="shared" si="3"/>
        <v>-1.098914895525065E-2</v>
      </c>
    </row>
    <row r="121" spans="1:5" x14ac:dyDescent="0.25">
      <c r="A121" s="33">
        <v>41080</v>
      </c>
      <c r="B121">
        <v>399.55</v>
      </c>
      <c r="C121" s="34">
        <f t="shared" si="2"/>
        <v>1.408629441624365E-2</v>
      </c>
      <c r="D121" s="34">
        <f>Nifty!$H$4</f>
        <v>3.1746031746031746E-4</v>
      </c>
      <c r="E121" s="34">
        <f t="shared" si="3"/>
        <v>1.3768834098783333E-2</v>
      </c>
    </row>
    <row r="122" spans="1:5" x14ac:dyDescent="0.25">
      <c r="A122" s="33">
        <v>41081</v>
      </c>
      <c r="B122">
        <v>397.1</v>
      </c>
      <c r="C122" s="34">
        <f t="shared" si="2"/>
        <v>-6.1318983856838427E-3</v>
      </c>
      <c r="D122" s="34">
        <f>Nifty!$H$4</f>
        <v>3.1746031746031746E-4</v>
      </c>
      <c r="E122" s="34">
        <f t="shared" si="3"/>
        <v>-6.4493587031441597E-3</v>
      </c>
    </row>
    <row r="123" spans="1:5" x14ac:dyDescent="0.25">
      <c r="A123" s="33">
        <v>41082</v>
      </c>
      <c r="B123">
        <v>393</v>
      </c>
      <c r="C123" s="34">
        <f t="shared" si="2"/>
        <v>-1.0324855200201544E-2</v>
      </c>
      <c r="D123" s="34">
        <f>Nifty!$H$4</f>
        <v>3.1746031746031746E-4</v>
      </c>
      <c r="E123" s="34">
        <f t="shared" si="3"/>
        <v>-1.0642315517661861E-2</v>
      </c>
    </row>
    <row r="124" spans="1:5" x14ac:dyDescent="0.25">
      <c r="A124" s="33">
        <v>41085</v>
      </c>
      <c r="B124">
        <v>399.3</v>
      </c>
      <c r="C124" s="34">
        <f t="shared" si="2"/>
        <v>1.6030534351145098E-2</v>
      </c>
      <c r="D124" s="34">
        <f>Nifty!$H$4</f>
        <v>3.1746031746031746E-4</v>
      </c>
      <c r="E124" s="34">
        <f t="shared" si="3"/>
        <v>1.5713074033684781E-2</v>
      </c>
    </row>
    <row r="125" spans="1:5" x14ac:dyDescent="0.25">
      <c r="A125" s="33">
        <v>41086</v>
      </c>
      <c r="B125">
        <v>398.15</v>
      </c>
      <c r="C125" s="34">
        <f t="shared" si="2"/>
        <v>-2.8800400701227691E-3</v>
      </c>
      <c r="D125" s="34">
        <f>Nifty!$H$4</f>
        <v>3.1746031746031746E-4</v>
      </c>
      <c r="E125" s="34">
        <f t="shared" si="3"/>
        <v>-3.1975003875830865E-3</v>
      </c>
    </row>
    <row r="126" spans="1:5" x14ac:dyDescent="0.25">
      <c r="A126" s="33">
        <v>41087</v>
      </c>
      <c r="B126">
        <v>402.15</v>
      </c>
      <c r="C126" s="34">
        <f t="shared" si="2"/>
        <v>1.0046464900163254E-2</v>
      </c>
      <c r="D126" s="34">
        <f>Nifty!$H$4</f>
        <v>3.1746031746031746E-4</v>
      </c>
      <c r="E126" s="34">
        <f t="shared" si="3"/>
        <v>9.7290045827029374E-3</v>
      </c>
    </row>
    <row r="127" spans="1:5" x14ac:dyDescent="0.25">
      <c r="A127" s="33">
        <v>41088</v>
      </c>
      <c r="B127">
        <v>397.55</v>
      </c>
      <c r="C127" s="34">
        <f t="shared" si="2"/>
        <v>-1.1438517965932982E-2</v>
      </c>
      <c r="D127" s="34">
        <f>Nifty!$H$4</f>
        <v>3.1746031746031746E-4</v>
      </c>
      <c r="E127" s="34">
        <f t="shared" si="3"/>
        <v>-1.1755978283393299E-2</v>
      </c>
    </row>
    <row r="128" spans="1:5" x14ac:dyDescent="0.25">
      <c r="A128" s="33">
        <v>41089</v>
      </c>
      <c r="B128">
        <v>401.4</v>
      </c>
      <c r="C128" s="34">
        <f t="shared" si="2"/>
        <v>9.6843164381836822E-3</v>
      </c>
      <c r="D128" s="34">
        <f>Nifty!$H$4</f>
        <v>3.1746031746031746E-4</v>
      </c>
      <c r="E128" s="34">
        <f t="shared" si="3"/>
        <v>9.3668561207233651E-3</v>
      </c>
    </row>
    <row r="129" spans="1:5" x14ac:dyDescent="0.25">
      <c r="A129" s="33">
        <v>41092</v>
      </c>
      <c r="B129">
        <v>401.2</v>
      </c>
      <c r="C129" s="34">
        <f t="shared" si="2"/>
        <v>-4.9825610363729567E-4</v>
      </c>
      <c r="D129" s="34">
        <f>Nifty!$H$4</f>
        <v>3.1746031746031746E-4</v>
      </c>
      <c r="E129" s="34">
        <f t="shared" si="3"/>
        <v>-8.1571642109761313E-4</v>
      </c>
    </row>
    <row r="130" spans="1:5" x14ac:dyDescent="0.25">
      <c r="A130" s="33">
        <v>41093</v>
      </c>
      <c r="B130">
        <v>401</v>
      </c>
      <c r="C130" s="34">
        <f t="shared" si="2"/>
        <v>-4.9850448654031876E-4</v>
      </c>
      <c r="D130" s="34">
        <f>Nifty!$H$4</f>
        <v>3.1746031746031746E-4</v>
      </c>
      <c r="E130" s="34">
        <f t="shared" si="3"/>
        <v>-8.1596480400063622E-4</v>
      </c>
    </row>
    <row r="131" spans="1:5" x14ac:dyDescent="0.25">
      <c r="A131" s="33">
        <v>41094</v>
      </c>
      <c r="B131">
        <v>401.15</v>
      </c>
      <c r="C131" s="34">
        <f t="shared" si="2"/>
        <v>3.7406483790514145E-4</v>
      </c>
      <c r="D131" s="34">
        <f>Nifty!$H$4</f>
        <v>3.1746031746031746E-4</v>
      </c>
      <c r="E131" s="34">
        <f t="shared" si="3"/>
        <v>5.6604520444823985E-5</v>
      </c>
    </row>
    <row r="132" spans="1:5" x14ac:dyDescent="0.25">
      <c r="A132" s="33">
        <v>41095</v>
      </c>
      <c r="B132">
        <v>394.75</v>
      </c>
      <c r="C132" s="34">
        <f t="shared" ref="C132:C195" si="4">B132/B131 -1</f>
        <v>-1.5954131870871135E-2</v>
      </c>
      <c r="D132" s="34">
        <f>Nifty!$H$4</f>
        <v>3.1746031746031746E-4</v>
      </c>
      <c r="E132" s="34">
        <f t="shared" ref="E132:E195" si="5">C132-D132</f>
        <v>-1.6271592188331453E-2</v>
      </c>
    </row>
    <row r="133" spans="1:5" x14ac:dyDescent="0.25">
      <c r="A133" s="33">
        <v>41096</v>
      </c>
      <c r="B133">
        <v>394.6</v>
      </c>
      <c r="C133" s="34">
        <f t="shared" si="4"/>
        <v>-3.7998733375543825E-4</v>
      </c>
      <c r="D133" s="34">
        <f>Nifty!$H$4</f>
        <v>3.1746031746031746E-4</v>
      </c>
      <c r="E133" s="34">
        <f t="shared" si="5"/>
        <v>-6.9744765121575571E-4</v>
      </c>
    </row>
    <row r="134" spans="1:5" x14ac:dyDescent="0.25">
      <c r="A134" s="33">
        <v>41099</v>
      </c>
      <c r="B134">
        <v>389.05</v>
      </c>
      <c r="C134" s="34">
        <f t="shared" si="4"/>
        <v>-1.4064875823618928E-2</v>
      </c>
      <c r="D134" s="34">
        <f>Nifty!$H$4</f>
        <v>3.1746031746031746E-4</v>
      </c>
      <c r="E134" s="34">
        <f t="shared" si="5"/>
        <v>-1.4382336141079245E-2</v>
      </c>
    </row>
    <row r="135" spans="1:5" x14ac:dyDescent="0.25">
      <c r="A135" s="33">
        <v>41100</v>
      </c>
      <c r="B135">
        <v>387.8</v>
      </c>
      <c r="C135" s="34">
        <f t="shared" si="4"/>
        <v>-3.212954633080578E-3</v>
      </c>
      <c r="D135" s="34">
        <f>Nifty!$H$4</f>
        <v>3.1746031746031746E-4</v>
      </c>
      <c r="E135" s="34">
        <f t="shared" si="5"/>
        <v>-3.5304149505408955E-3</v>
      </c>
    </row>
    <row r="136" spans="1:5" x14ac:dyDescent="0.25">
      <c r="A136" s="33">
        <v>41101</v>
      </c>
      <c r="B136">
        <v>384</v>
      </c>
      <c r="C136" s="34">
        <f t="shared" si="4"/>
        <v>-9.7988653945333404E-3</v>
      </c>
      <c r="D136" s="34">
        <f>Nifty!$H$4</f>
        <v>3.1746031746031746E-4</v>
      </c>
      <c r="E136" s="34">
        <f t="shared" si="5"/>
        <v>-1.0116325711993657E-2</v>
      </c>
    </row>
    <row r="137" spans="1:5" x14ac:dyDescent="0.25">
      <c r="A137" s="33">
        <v>41102</v>
      </c>
      <c r="B137">
        <v>368</v>
      </c>
      <c r="C137" s="34">
        <f t="shared" si="4"/>
        <v>-4.166666666666663E-2</v>
      </c>
      <c r="D137" s="34">
        <f>Nifty!$H$4</f>
        <v>3.1746031746031746E-4</v>
      </c>
      <c r="E137" s="34">
        <f t="shared" si="5"/>
        <v>-4.198412698412695E-2</v>
      </c>
    </row>
    <row r="138" spans="1:5" x14ac:dyDescent="0.25">
      <c r="A138" s="33">
        <v>41103</v>
      </c>
      <c r="B138">
        <v>361.5</v>
      </c>
      <c r="C138" s="34">
        <f t="shared" si="4"/>
        <v>-1.7663043478260865E-2</v>
      </c>
      <c r="D138" s="34">
        <f>Nifty!$H$4</f>
        <v>3.1746031746031746E-4</v>
      </c>
      <c r="E138" s="34">
        <f t="shared" si="5"/>
        <v>-1.7980503795721182E-2</v>
      </c>
    </row>
    <row r="139" spans="1:5" x14ac:dyDescent="0.25">
      <c r="A139" s="33">
        <v>41106</v>
      </c>
      <c r="B139">
        <v>358</v>
      </c>
      <c r="C139" s="34">
        <f t="shared" si="4"/>
        <v>-9.6818810511756226E-3</v>
      </c>
      <c r="D139" s="34">
        <f>Nifty!$H$4</f>
        <v>3.1746031746031746E-4</v>
      </c>
      <c r="E139" s="34">
        <f t="shared" si="5"/>
        <v>-9.9993413686359396E-3</v>
      </c>
    </row>
    <row r="140" spans="1:5" x14ac:dyDescent="0.25">
      <c r="A140" s="33">
        <v>41107</v>
      </c>
      <c r="B140">
        <v>357</v>
      </c>
      <c r="C140" s="34">
        <f t="shared" si="4"/>
        <v>-2.7932960893854997E-3</v>
      </c>
      <c r="D140" s="34">
        <f>Nifty!$H$4</f>
        <v>3.1746031746031746E-4</v>
      </c>
      <c r="E140" s="34">
        <f t="shared" si="5"/>
        <v>-3.1107564068458171E-3</v>
      </c>
    </row>
    <row r="141" spans="1:5" x14ac:dyDescent="0.25">
      <c r="A141" s="33">
        <v>41108</v>
      </c>
      <c r="B141">
        <v>365</v>
      </c>
      <c r="C141" s="34">
        <f t="shared" si="4"/>
        <v>2.2408963585434094E-2</v>
      </c>
      <c r="D141" s="34">
        <f>Nifty!$H$4</f>
        <v>3.1746031746031746E-4</v>
      </c>
      <c r="E141" s="34">
        <f t="shared" si="5"/>
        <v>2.2091503267973777E-2</v>
      </c>
    </row>
    <row r="142" spans="1:5" x14ac:dyDescent="0.25">
      <c r="A142" s="33">
        <v>41109</v>
      </c>
      <c r="B142">
        <v>366.25</v>
      </c>
      <c r="C142" s="34">
        <f t="shared" si="4"/>
        <v>3.424657534246478E-3</v>
      </c>
      <c r="D142" s="34">
        <f>Nifty!$H$4</f>
        <v>3.1746031746031746E-4</v>
      </c>
      <c r="E142" s="34">
        <f t="shared" si="5"/>
        <v>3.1071972167861605E-3</v>
      </c>
    </row>
    <row r="143" spans="1:5" x14ac:dyDescent="0.25">
      <c r="A143" s="33">
        <v>41110</v>
      </c>
      <c r="B143">
        <v>368.95</v>
      </c>
      <c r="C143" s="34">
        <f t="shared" si="4"/>
        <v>7.3720136518771184E-3</v>
      </c>
      <c r="D143" s="34">
        <f>Nifty!$H$4</f>
        <v>3.1746031746031746E-4</v>
      </c>
      <c r="E143" s="34">
        <f t="shared" si="5"/>
        <v>7.0545533344168014E-3</v>
      </c>
    </row>
    <row r="144" spans="1:5" x14ac:dyDescent="0.25">
      <c r="A144" s="33">
        <v>41113</v>
      </c>
      <c r="B144">
        <v>360.6</v>
      </c>
      <c r="C144" s="34">
        <f t="shared" si="4"/>
        <v>-2.2631792925870586E-2</v>
      </c>
      <c r="D144" s="34">
        <f>Nifty!$H$4</f>
        <v>3.1746031746031746E-4</v>
      </c>
      <c r="E144" s="34">
        <f t="shared" si="5"/>
        <v>-2.2949253243330903E-2</v>
      </c>
    </row>
    <row r="145" spans="1:5" x14ac:dyDescent="0.25">
      <c r="A145" s="33">
        <v>41114</v>
      </c>
      <c r="B145">
        <v>353</v>
      </c>
      <c r="C145" s="34">
        <f t="shared" si="4"/>
        <v>-2.1075984470327325E-2</v>
      </c>
      <c r="D145" s="34">
        <f>Nifty!$H$4</f>
        <v>3.1746031746031746E-4</v>
      </c>
      <c r="E145" s="34">
        <f t="shared" si="5"/>
        <v>-2.1393444787787642E-2</v>
      </c>
    </row>
    <row r="146" spans="1:5" x14ac:dyDescent="0.25">
      <c r="A146" s="33">
        <v>41115</v>
      </c>
      <c r="B146">
        <v>346</v>
      </c>
      <c r="C146" s="34">
        <f t="shared" si="4"/>
        <v>-1.9830028328611915E-2</v>
      </c>
      <c r="D146" s="34">
        <f>Nifty!$H$4</f>
        <v>3.1746031746031746E-4</v>
      </c>
      <c r="E146" s="34">
        <f t="shared" si="5"/>
        <v>-2.0147488646072232E-2</v>
      </c>
    </row>
    <row r="147" spans="1:5" x14ac:dyDescent="0.25">
      <c r="A147" s="33">
        <v>41116</v>
      </c>
      <c r="B147">
        <v>339.5</v>
      </c>
      <c r="C147" s="34">
        <f t="shared" si="4"/>
        <v>-1.8786127167630062E-2</v>
      </c>
      <c r="D147" s="34">
        <f>Nifty!$H$4</f>
        <v>3.1746031746031746E-4</v>
      </c>
      <c r="E147" s="34">
        <f t="shared" si="5"/>
        <v>-1.9103587485090379E-2</v>
      </c>
    </row>
    <row r="148" spans="1:5" x14ac:dyDescent="0.25">
      <c r="A148" s="33">
        <v>41117</v>
      </c>
      <c r="B148">
        <v>333.05</v>
      </c>
      <c r="C148" s="34">
        <f t="shared" si="4"/>
        <v>-1.8998527245949859E-2</v>
      </c>
      <c r="D148" s="34">
        <f>Nifty!$H$4</f>
        <v>3.1746031746031746E-4</v>
      </c>
      <c r="E148" s="34">
        <f t="shared" si="5"/>
        <v>-1.9315987563410176E-2</v>
      </c>
    </row>
    <row r="149" spans="1:5" x14ac:dyDescent="0.25">
      <c r="A149" s="33">
        <v>41120</v>
      </c>
      <c r="B149">
        <v>335</v>
      </c>
      <c r="C149" s="34">
        <f t="shared" si="4"/>
        <v>5.854976730220729E-3</v>
      </c>
      <c r="D149" s="34">
        <f>Nifty!$H$4</f>
        <v>3.1746031746031746E-4</v>
      </c>
      <c r="E149" s="34">
        <f t="shared" si="5"/>
        <v>5.5375164127604119E-3</v>
      </c>
    </row>
    <row r="150" spans="1:5" x14ac:dyDescent="0.25">
      <c r="A150" s="33">
        <v>41121</v>
      </c>
      <c r="B150">
        <v>336.4</v>
      </c>
      <c r="C150" s="34">
        <f t="shared" si="4"/>
        <v>4.179104477611828E-3</v>
      </c>
      <c r="D150" s="34">
        <f>Nifty!$H$4</f>
        <v>3.1746031746031746E-4</v>
      </c>
      <c r="E150" s="34">
        <f t="shared" si="5"/>
        <v>3.8616441601515106E-3</v>
      </c>
    </row>
    <row r="151" spans="1:5" x14ac:dyDescent="0.25">
      <c r="A151" s="33">
        <v>41122</v>
      </c>
      <c r="B151">
        <v>340.2</v>
      </c>
      <c r="C151" s="34">
        <f t="shared" si="4"/>
        <v>1.1296076099881036E-2</v>
      </c>
      <c r="D151" s="34">
        <f>Nifty!$H$4</f>
        <v>3.1746031746031746E-4</v>
      </c>
      <c r="E151" s="34">
        <f t="shared" si="5"/>
        <v>1.0978615782420719E-2</v>
      </c>
    </row>
    <row r="152" spans="1:5" x14ac:dyDescent="0.25">
      <c r="A152" s="33">
        <v>41123</v>
      </c>
      <c r="B152">
        <v>338</v>
      </c>
      <c r="C152" s="34">
        <f t="shared" si="4"/>
        <v>-6.4667842445620405E-3</v>
      </c>
      <c r="D152" s="34">
        <f>Nifty!$H$4</f>
        <v>3.1746031746031746E-4</v>
      </c>
      <c r="E152" s="34">
        <f t="shared" si="5"/>
        <v>-6.7842445620223575E-3</v>
      </c>
    </row>
    <row r="153" spans="1:5" x14ac:dyDescent="0.25">
      <c r="A153" s="33">
        <v>41124</v>
      </c>
      <c r="B153">
        <v>338.5</v>
      </c>
      <c r="C153" s="34">
        <f t="shared" si="4"/>
        <v>1.4792899408284654E-3</v>
      </c>
      <c r="D153" s="34">
        <f>Nifty!$H$4</f>
        <v>3.1746031746031746E-4</v>
      </c>
      <c r="E153" s="34">
        <f t="shared" si="5"/>
        <v>1.161829623368148E-3</v>
      </c>
    </row>
    <row r="154" spans="1:5" x14ac:dyDescent="0.25">
      <c r="A154" s="33">
        <v>41127</v>
      </c>
      <c r="B154">
        <v>350</v>
      </c>
      <c r="C154" s="34">
        <f t="shared" si="4"/>
        <v>3.3973412112259904E-2</v>
      </c>
      <c r="D154" s="34">
        <f>Nifty!$H$4</f>
        <v>3.1746031746031746E-4</v>
      </c>
      <c r="E154" s="34">
        <f t="shared" si="5"/>
        <v>3.3655951794799584E-2</v>
      </c>
    </row>
    <row r="155" spans="1:5" x14ac:dyDescent="0.25">
      <c r="A155" s="33">
        <v>41128</v>
      </c>
      <c r="B155">
        <v>347.55</v>
      </c>
      <c r="C155" s="34">
        <f t="shared" si="4"/>
        <v>-7.0000000000000062E-3</v>
      </c>
      <c r="D155" s="34">
        <f>Nifty!$H$4</f>
        <v>3.1746031746031746E-4</v>
      </c>
      <c r="E155" s="34">
        <f t="shared" si="5"/>
        <v>-7.3174603174603232E-3</v>
      </c>
    </row>
    <row r="156" spans="1:5" x14ac:dyDescent="0.25">
      <c r="A156" s="33">
        <v>41129</v>
      </c>
      <c r="B156">
        <v>350</v>
      </c>
      <c r="C156" s="34">
        <f t="shared" si="4"/>
        <v>7.0493454179254567E-3</v>
      </c>
      <c r="D156" s="34">
        <f>Nifty!$H$4</f>
        <v>3.1746031746031746E-4</v>
      </c>
      <c r="E156" s="34">
        <f t="shared" si="5"/>
        <v>6.7318851004651396E-3</v>
      </c>
    </row>
    <row r="157" spans="1:5" x14ac:dyDescent="0.25">
      <c r="A157" s="33">
        <v>41130</v>
      </c>
      <c r="B157">
        <v>351</v>
      </c>
      <c r="C157" s="34">
        <f t="shared" si="4"/>
        <v>2.8571428571428914E-3</v>
      </c>
      <c r="D157" s="34">
        <f>Nifty!$H$4</f>
        <v>3.1746031746031746E-4</v>
      </c>
      <c r="E157" s="34">
        <f t="shared" si="5"/>
        <v>2.5396825396825739E-3</v>
      </c>
    </row>
    <row r="158" spans="1:5" x14ac:dyDescent="0.25">
      <c r="A158" s="33">
        <v>41131</v>
      </c>
      <c r="B158">
        <v>344.2</v>
      </c>
      <c r="C158" s="34">
        <f t="shared" si="4"/>
        <v>-1.9373219373219452E-2</v>
      </c>
      <c r="D158" s="34">
        <f>Nifty!$H$4</f>
        <v>3.1746031746031746E-4</v>
      </c>
      <c r="E158" s="34">
        <f t="shared" si="5"/>
        <v>-1.9690679690679769E-2</v>
      </c>
    </row>
    <row r="159" spans="1:5" x14ac:dyDescent="0.25">
      <c r="A159" s="33">
        <v>41134</v>
      </c>
      <c r="B159">
        <v>348</v>
      </c>
      <c r="C159" s="34">
        <f t="shared" si="4"/>
        <v>1.1040092969204052E-2</v>
      </c>
      <c r="D159" s="34">
        <f>Nifty!$H$4</f>
        <v>3.1746031746031746E-4</v>
      </c>
      <c r="E159" s="34">
        <f t="shared" si="5"/>
        <v>1.0722632651743735E-2</v>
      </c>
    </row>
    <row r="160" spans="1:5" x14ac:dyDescent="0.25">
      <c r="A160" s="33">
        <v>41135</v>
      </c>
      <c r="B160">
        <v>356</v>
      </c>
      <c r="C160" s="34">
        <f t="shared" si="4"/>
        <v>2.2988505747126409E-2</v>
      </c>
      <c r="D160" s="34">
        <f>Nifty!$H$4</f>
        <v>3.1746031746031746E-4</v>
      </c>
      <c r="E160" s="34">
        <f t="shared" si="5"/>
        <v>2.2671045429666092E-2</v>
      </c>
    </row>
    <row r="161" spans="1:5" x14ac:dyDescent="0.25">
      <c r="A161" s="33">
        <v>41137</v>
      </c>
      <c r="B161">
        <v>354.2</v>
      </c>
      <c r="C161" s="34">
        <f t="shared" si="4"/>
        <v>-5.0561797752809445E-3</v>
      </c>
      <c r="D161" s="34">
        <f>Nifty!$H$4</f>
        <v>3.1746031746031746E-4</v>
      </c>
      <c r="E161" s="34">
        <f t="shared" si="5"/>
        <v>-5.3736400927412616E-3</v>
      </c>
    </row>
    <row r="162" spans="1:5" x14ac:dyDescent="0.25">
      <c r="A162" s="33">
        <v>41138</v>
      </c>
      <c r="B162">
        <v>349.4</v>
      </c>
      <c r="C162" s="34">
        <f t="shared" si="4"/>
        <v>-1.3551665725578754E-2</v>
      </c>
      <c r="D162" s="34">
        <f>Nifty!$H$4</f>
        <v>3.1746031746031746E-4</v>
      </c>
      <c r="E162" s="34">
        <f t="shared" si="5"/>
        <v>-1.3869126043039071E-2</v>
      </c>
    </row>
    <row r="163" spans="1:5" x14ac:dyDescent="0.25">
      <c r="A163" s="33">
        <v>41142</v>
      </c>
      <c r="B163">
        <v>350.65</v>
      </c>
      <c r="C163" s="34">
        <f t="shared" si="4"/>
        <v>3.5775615340583045E-3</v>
      </c>
      <c r="D163" s="34">
        <f>Nifty!$H$4</f>
        <v>3.1746031746031746E-4</v>
      </c>
      <c r="E163" s="34">
        <f t="shared" si="5"/>
        <v>3.260101216597987E-3</v>
      </c>
    </row>
    <row r="164" spans="1:5" x14ac:dyDescent="0.25">
      <c r="A164" s="33">
        <v>41143</v>
      </c>
      <c r="B164">
        <v>355</v>
      </c>
      <c r="C164" s="34">
        <f t="shared" si="4"/>
        <v>1.2405532582347112E-2</v>
      </c>
      <c r="D164" s="34">
        <f>Nifty!$H$4</f>
        <v>3.1746031746031746E-4</v>
      </c>
      <c r="E164" s="34">
        <f t="shared" si="5"/>
        <v>1.2088072264886795E-2</v>
      </c>
    </row>
    <row r="165" spans="1:5" x14ac:dyDescent="0.25">
      <c r="A165" s="33">
        <v>41144</v>
      </c>
      <c r="B165">
        <v>355.65</v>
      </c>
      <c r="C165" s="34">
        <f t="shared" si="4"/>
        <v>1.8309859154927999E-3</v>
      </c>
      <c r="D165" s="34">
        <f>Nifty!$H$4</f>
        <v>3.1746031746031746E-4</v>
      </c>
      <c r="E165" s="34">
        <f t="shared" si="5"/>
        <v>1.5135255980324824E-3</v>
      </c>
    </row>
    <row r="166" spans="1:5" x14ac:dyDescent="0.25">
      <c r="A166" s="33">
        <v>41145</v>
      </c>
      <c r="B166">
        <v>362.95</v>
      </c>
      <c r="C166" s="34">
        <f t="shared" si="4"/>
        <v>2.0525797834950232E-2</v>
      </c>
      <c r="D166" s="34">
        <f>Nifty!$H$4</f>
        <v>3.1746031746031746E-4</v>
      </c>
      <c r="E166" s="34">
        <f t="shared" si="5"/>
        <v>2.0208337517489915E-2</v>
      </c>
    </row>
    <row r="167" spans="1:5" x14ac:dyDescent="0.25">
      <c r="A167" s="33">
        <v>41148</v>
      </c>
      <c r="B167">
        <v>366.5</v>
      </c>
      <c r="C167" s="34">
        <f t="shared" si="4"/>
        <v>9.7809615649537829E-3</v>
      </c>
      <c r="D167" s="34">
        <f>Nifty!$H$4</f>
        <v>3.1746031746031746E-4</v>
      </c>
      <c r="E167" s="34">
        <f t="shared" si="5"/>
        <v>9.4635012474934659E-3</v>
      </c>
    </row>
    <row r="168" spans="1:5" x14ac:dyDescent="0.25">
      <c r="A168" s="33">
        <v>41149</v>
      </c>
      <c r="B168">
        <v>360.5</v>
      </c>
      <c r="C168" s="34">
        <f t="shared" si="4"/>
        <v>-1.6371077762619368E-2</v>
      </c>
      <c r="D168" s="34">
        <f>Nifty!$H$4</f>
        <v>3.1746031746031746E-4</v>
      </c>
      <c r="E168" s="34">
        <f t="shared" si="5"/>
        <v>-1.6688538080079685E-2</v>
      </c>
    </row>
    <row r="169" spans="1:5" x14ac:dyDescent="0.25">
      <c r="A169" s="33">
        <v>41150</v>
      </c>
      <c r="B169">
        <v>364</v>
      </c>
      <c r="C169" s="34">
        <f t="shared" si="4"/>
        <v>9.7087378640776656E-3</v>
      </c>
      <c r="D169" s="34">
        <f>Nifty!$H$4</f>
        <v>3.1746031746031746E-4</v>
      </c>
      <c r="E169" s="34">
        <f t="shared" si="5"/>
        <v>9.3912775466173486E-3</v>
      </c>
    </row>
    <row r="170" spans="1:5" x14ac:dyDescent="0.25">
      <c r="A170" s="33">
        <v>41151</v>
      </c>
      <c r="B170">
        <v>364</v>
      </c>
      <c r="C170" s="34">
        <f t="shared" si="4"/>
        <v>0</v>
      </c>
      <c r="D170" s="34">
        <f>Nifty!$H$4</f>
        <v>3.1746031746031746E-4</v>
      </c>
      <c r="E170" s="34">
        <f t="shared" si="5"/>
        <v>-3.1746031746031746E-4</v>
      </c>
    </row>
    <row r="171" spans="1:5" x14ac:dyDescent="0.25">
      <c r="A171" s="33">
        <v>41152</v>
      </c>
      <c r="B171">
        <v>369</v>
      </c>
      <c r="C171" s="34">
        <f t="shared" si="4"/>
        <v>1.3736263736263687E-2</v>
      </c>
      <c r="D171" s="34">
        <f>Nifty!$H$4</f>
        <v>3.1746031746031746E-4</v>
      </c>
      <c r="E171" s="34">
        <f t="shared" si="5"/>
        <v>1.341880341880337E-2</v>
      </c>
    </row>
    <row r="172" spans="1:5" x14ac:dyDescent="0.25">
      <c r="A172" s="33">
        <v>41155</v>
      </c>
      <c r="B172">
        <v>362.9</v>
      </c>
      <c r="C172" s="34">
        <f t="shared" si="4"/>
        <v>-1.6531165311653218E-2</v>
      </c>
      <c r="D172" s="34">
        <f>Nifty!$H$4</f>
        <v>3.1746031746031746E-4</v>
      </c>
      <c r="E172" s="34">
        <f t="shared" si="5"/>
        <v>-1.6848625629113535E-2</v>
      </c>
    </row>
    <row r="173" spans="1:5" x14ac:dyDescent="0.25">
      <c r="A173" s="33">
        <v>41156</v>
      </c>
      <c r="B173">
        <v>363</v>
      </c>
      <c r="C173" s="34">
        <f t="shared" si="4"/>
        <v>2.7555800496004146E-4</v>
      </c>
      <c r="D173" s="34">
        <f>Nifty!$H$4</f>
        <v>3.1746031746031746E-4</v>
      </c>
      <c r="E173" s="34">
        <f t="shared" si="5"/>
        <v>-4.1902312500276002E-5</v>
      </c>
    </row>
    <row r="174" spans="1:5" x14ac:dyDescent="0.25">
      <c r="A174" s="33">
        <v>41157</v>
      </c>
      <c r="B174">
        <v>361</v>
      </c>
      <c r="C174" s="34">
        <f t="shared" si="4"/>
        <v>-5.5096418732781816E-3</v>
      </c>
      <c r="D174" s="34">
        <f>Nifty!$H$4</f>
        <v>3.1746031746031746E-4</v>
      </c>
      <c r="E174" s="34">
        <f t="shared" si="5"/>
        <v>-5.8271021907384986E-3</v>
      </c>
    </row>
    <row r="175" spans="1:5" x14ac:dyDescent="0.25">
      <c r="A175" s="33">
        <v>41158</v>
      </c>
      <c r="B175">
        <v>362.5</v>
      </c>
      <c r="C175" s="34">
        <f t="shared" si="4"/>
        <v>4.1551246537396835E-3</v>
      </c>
      <c r="D175" s="34">
        <f>Nifty!$H$4</f>
        <v>3.1746031746031746E-4</v>
      </c>
      <c r="E175" s="34">
        <f t="shared" si="5"/>
        <v>3.8376643362793661E-3</v>
      </c>
    </row>
    <row r="176" spans="1:5" x14ac:dyDescent="0.25">
      <c r="A176" s="33">
        <v>41159</v>
      </c>
      <c r="B176">
        <v>381.5</v>
      </c>
      <c r="C176" s="34">
        <f t="shared" si="4"/>
        <v>5.2413793103448292E-2</v>
      </c>
      <c r="D176" s="34">
        <f>Nifty!$H$4</f>
        <v>3.1746031746031746E-4</v>
      </c>
      <c r="E176" s="34">
        <f t="shared" si="5"/>
        <v>5.2096332785987971E-2</v>
      </c>
    </row>
    <row r="177" spans="1:5" x14ac:dyDescent="0.25">
      <c r="A177" s="33">
        <v>41160</v>
      </c>
      <c r="B177">
        <v>378.5</v>
      </c>
      <c r="C177" s="34">
        <f t="shared" si="4"/>
        <v>-7.8636959370904647E-3</v>
      </c>
      <c r="D177" s="34">
        <f>Nifty!$H$4</f>
        <v>3.1746031746031746E-4</v>
      </c>
      <c r="E177" s="34">
        <f t="shared" si="5"/>
        <v>-8.1811562545507817E-3</v>
      </c>
    </row>
    <row r="178" spans="1:5" x14ac:dyDescent="0.25">
      <c r="A178" s="33">
        <v>41162</v>
      </c>
      <c r="B178">
        <v>380</v>
      </c>
      <c r="C178" s="34">
        <f t="shared" si="4"/>
        <v>3.9630118890356947E-3</v>
      </c>
      <c r="D178" s="34">
        <f>Nifty!$H$4</f>
        <v>3.1746031746031746E-4</v>
      </c>
      <c r="E178" s="34">
        <f t="shared" si="5"/>
        <v>3.6455515715753772E-3</v>
      </c>
    </row>
    <row r="179" spans="1:5" x14ac:dyDescent="0.25">
      <c r="A179" s="33">
        <v>41163</v>
      </c>
      <c r="B179">
        <v>373.5</v>
      </c>
      <c r="C179" s="34">
        <f t="shared" si="4"/>
        <v>-1.7105263157894735E-2</v>
      </c>
      <c r="D179" s="34">
        <f>Nifty!$H$4</f>
        <v>3.1746031746031746E-4</v>
      </c>
      <c r="E179" s="34">
        <f t="shared" si="5"/>
        <v>-1.7422723475355052E-2</v>
      </c>
    </row>
    <row r="180" spans="1:5" x14ac:dyDescent="0.25">
      <c r="A180" s="33">
        <v>41164</v>
      </c>
      <c r="B180">
        <v>377.25</v>
      </c>
      <c r="C180" s="34">
        <f t="shared" si="4"/>
        <v>1.0040160642570184E-2</v>
      </c>
      <c r="D180" s="34">
        <f>Nifty!$H$4</f>
        <v>3.1746031746031746E-4</v>
      </c>
      <c r="E180" s="34">
        <f t="shared" si="5"/>
        <v>9.7227003251098669E-3</v>
      </c>
    </row>
    <row r="181" spans="1:5" x14ac:dyDescent="0.25">
      <c r="A181" s="33">
        <v>41165</v>
      </c>
      <c r="B181">
        <v>387.1</v>
      </c>
      <c r="C181" s="34">
        <f t="shared" si="4"/>
        <v>2.6110006626905324E-2</v>
      </c>
      <c r="D181" s="34">
        <f>Nifty!$H$4</f>
        <v>3.1746031746031746E-4</v>
      </c>
      <c r="E181" s="34">
        <f t="shared" si="5"/>
        <v>2.5792546309445007E-2</v>
      </c>
    </row>
    <row r="182" spans="1:5" x14ac:dyDescent="0.25">
      <c r="A182" s="33">
        <v>41166</v>
      </c>
      <c r="B182">
        <v>395.95</v>
      </c>
      <c r="C182" s="34">
        <f t="shared" si="4"/>
        <v>2.2862309480754295E-2</v>
      </c>
      <c r="D182" s="34">
        <f>Nifty!$H$4</f>
        <v>3.1746031746031746E-4</v>
      </c>
      <c r="E182" s="34">
        <f t="shared" si="5"/>
        <v>2.2544849163293978E-2</v>
      </c>
    </row>
    <row r="183" spans="1:5" x14ac:dyDescent="0.25">
      <c r="A183" s="33">
        <v>41169</v>
      </c>
      <c r="B183">
        <v>393.4</v>
      </c>
      <c r="C183" s="34">
        <f t="shared" si="4"/>
        <v>-6.4402070968556657E-3</v>
      </c>
      <c r="D183" s="34">
        <f>Nifty!$H$4</f>
        <v>3.1746031746031746E-4</v>
      </c>
      <c r="E183" s="34">
        <f t="shared" si="5"/>
        <v>-6.7576674143159828E-3</v>
      </c>
    </row>
    <row r="184" spans="1:5" x14ac:dyDescent="0.25">
      <c r="A184" s="33">
        <v>41170</v>
      </c>
      <c r="B184">
        <v>384.2</v>
      </c>
      <c r="C184" s="34">
        <f t="shared" si="4"/>
        <v>-2.3385866802236865E-2</v>
      </c>
      <c r="D184" s="34">
        <f>Nifty!$H$4</f>
        <v>3.1746031746031746E-4</v>
      </c>
      <c r="E184" s="34">
        <f t="shared" si="5"/>
        <v>-2.3703327119697182E-2</v>
      </c>
    </row>
    <row r="185" spans="1:5" x14ac:dyDescent="0.25">
      <c r="A185" s="33">
        <v>41172</v>
      </c>
      <c r="B185">
        <v>370</v>
      </c>
      <c r="C185" s="34">
        <f t="shared" si="4"/>
        <v>-3.6959916710046836E-2</v>
      </c>
      <c r="D185" s="34">
        <f>Nifty!$H$4</f>
        <v>3.1746031746031746E-4</v>
      </c>
      <c r="E185" s="34">
        <f t="shared" si="5"/>
        <v>-3.7277377027507157E-2</v>
      </c>
    </row>
    <row r="186" spans="1:5" x14ac:dyDescent="0.25">
      <c r="A186" s="33">
        <v>41173</v>
      </c>
      <c r="B186">
        <v>374.4</v>
      </c>
      <c r="C186" s="34">
        <f t="shared" si="4"/>
        <v>1.189189189189177E-2</v>
      </c>
      <c r="D186" s="34">
        <f>Nifty!$H$4</f>
        <v>3.1746031746031746E-4</v>
      </c>
      <c r="E186" s="34">
        <f t="shared" si="5"/>
        <v>1.1574431574431453E-2</v>
      </c>
    </row>
    <row r="187" spans="1:5" x14ac:dyDescent="0.25">
      <c r="A187" s="33">
        <v>41176</v>
      </c>
      <c r="B187">
        <v>375.3</v>
      </c>
      <c r="C187" s="34">
        <f t="shared" si="4"/>
        <v>2.4038461538462563E-3</v>
      </c>
      <c r="D187" s="34">
        <f>Nifty!$H$4</f>
        <v>3.1746031746031746E-4</v>
      </c>
      <c r="E187" s="34">
        <f t="shared" si="5"/>
        <v>2.0863858363859389E-3</v>
      </c>
    </row>
    <row r="188" spans="1:5" x14ac:dyDescent="0.25">
      <c r="A188" s="33">
        <v>41177</v>
      </c>
      <c r="B188">
        <v>380.2</v>
      </c>
      <c r="C188" s="34">
        <f t="shared" si="4"/>
        <v>1.3056221689315084E-2</v>
      </c>
      <c r="D188" s="34">
        <f>Nifty!$H$4</f>
        <v>3.1746031746031746E-4</v>
      </c>
      <c r="E188" s="34">
        <f t="shared" si="5"/>
        <v>1.2738761371854767E-2</v>
      </c>
    </row>
    <row r="189" spans="1:5" x14ac:dyDescent="0.25">
      <c r="A189" s="33">
        <v>41178</v>
      </c>
      <c r="B189">
        <v>376.15</v>
      </c>
      <c r="C189" s="34">
        <f t="shared" si="4"/>
        <v>-1.0652288269331955E-2</v>
      </c>
      <c r="D189" s="34">
        <f>Nifty!$H$4</f>
        <v>3.1746031746031746E-4</v>
      </c>
      <c r="E189" s="34">
        <f t="shared" si="5"/>
        <v>-1.0969748586792272E-2</v>
      </c>
    </row>
    <row r="190" spans="1:5" x14ac:dyDescent="0.25">
      <c r="A190" s="33">
        <v>41179</v>
      </c>
      <c r="B190">
        <v>379.9</v>
      </c>
      <c r="C190" s="34">
        <f t="shared" si="4"/>
        <v>9.9694270902566107E-3</v>
      </c>
      <c r="D190" s="34">
        <f>Nifty!$H$4</f>
        <v>3.1746031746031746E-4</v>
      </c>
      <c r="E190" s="34">
        <f t="shared" si="5"/>
        <v>9.6519667727962936E-3</v>
      </c>
    </row>
    <row r="191" spans="1:5" x14ac:dyDescent="0.25">
      <c r="A191" s="33">
        <v>41180</v>
      </c>
      <c r="B191">
        <v>378</v>
      </c>
      <c r="C191" s="34">
        <f t="shared" si="4"/>
        <v>-5.0013161358251068E-3</v>
      </c>
      <c r="D191" s="34">
        <f>Nifty!$H$4</f>
        <v>3.1746031746031746E-4</v>
      </c>
      <c r="E191" s="34">
        <f t="shared" si="5"/>
        <v>-5.3187764532854238E-3</v>
      </c>
    </row>
    <row r="192" spans="1:5" x14ac:dyDescent="0.25">
      <c r="A192" s="33">
        <v>41183</v>
      </c>
      <c r="B192">
        <v>379</v>
      </c>
      <c r="C192" s="34">
        <f t="shared" si="4"/>
        <v>2.6455026455025621E-3</v>
      </c>
      <c r="D192" s="34">
        <f>Nifty!$H$4</f>
        <v>3.1746031746031746E-4</v>
      </c>
      <c r="E192" s="34">
        <f t="shared" si="5"/>
        <v>2.3280423280422446E-3</v>
      </c>
    </row>
    <row r="193" spans="1:5" x14ac:dyDescent="0.25">
      <c r="A193" s="33">
        <v>41185</v>
      </c>
      <c r="B193">
        <v>384.25</v>
      </c>
      <c r="C193" s="34">
        <f t="shared" si="4"/>
        <v>1.385224274406327E-2</v>
      </c>
      <c r="D193" s="34">
        <f>Nifty!$H$4</f>
        <v>3.1746031746031746E-4</v>
      </c>
      <c r="E193" s="34">
        <f t="shared" si="5"/>
        <v>1.3534782426602953E-2</v>
      </c>
    </row>
    <row r="194" spans="1:5" x14ac:dyDescent="0.25">
      <c r="A194" s="33">
        <v>41186</v>
      </c>
      <c r="B194">
        <v>382</v>
      </c>
      <c r="C194" s="34">
        <f t="shared" si="4"/>
        <v>-5.855562784645385E-3</v>
      </c>
      <c r="D194" s="34">
        <f>Nifty!$H$4</f>
        <v>3.1746031746031746E-4</v>
      </c>
      <c r="E194" s="34">
        <f t="shared" si="5"/>
        <v>-6.1730231021057021E-3</v>
      </c>
    </row>
    <row r="195" spans="1:5" x14ac:dyDescent="0.25">
      <c r="A195" s="33">
        <v>41187</v>
      </c>
      <c r="B195">
        <v>383.55</v>
      </c>
      <c r="C195" s="34">
        <f t="shared" si="4"/>
        <v>4.0575916230367604E-3</v>
      </c>
      <c r="D195" s="34">
        <f>Nifty!$H$4</f>
        <v>3.1746031746031746E-4</v>
      </c>
      <c r="E195" s="34">
        <f t="shared" si="5"/>
        <v>3.7401313055764429E-3</v>
      </c>
    </row>
    <row r="196" spans="1:5" x14ac:dyDescent="0.25">
      <c r="A196" s="33">
        <v>41190</v>
      </c>
      <c r="B196">
        <v>372</v>
      </c>
      <c r="C196" s="34">
        <f t="shared" ref="C196:C253" si="6">B196/B195 -1</f>
        <v>-3.0113414157215468E-2</v>
      </c>
      <c r="D196" s="34">
        <f>Nifty!$H$4</f>
        <v>3.1746031746031746E-4</v>
      </c>
      <c r="E196" s="34">
        <f t="shared" ref="E196:E253" si="7">C196-D196</f>
        <v>-3.0430874474675785E-2</v>
      </c>
    </row>
    <row r="197" spans="1:5" x14ac:dyDescent="0.25">
      <c r="A197" s="33">
        <v>41191</v>
      </c>
      <c r="B197">
        <v>367</v>
      </c>
      <c r="C197" s="34">
        <f t="shared" si="6"/>
        <v>-1.3440860215053752E-2</v>
      </c>
      <c r="D197" s="34">
        <f>Nifty!$H$4</f>
        <v>3.1746031746031746E-4</v>
      </c>
      <c r="E197" s="34">
        <f t="shared" si="7"/>
        <v>-1.3758320532514069E-2</v>
      </c>
    </row>
    <row r="198" spans="1:5" x14ac:dyDescent="0.25">
      <c r="A198" s="33">
        <v>41192</v>
      </c>
      <c r="B198">
        <v>364.85</v>
      </c>
      <c r="C198" s="34">
        <f t="shared" si="6"/>
        <v>-5.858310626702945E-3</v>
      </c>
      <c r="D198" s="34">
        <f>Nifty!$H$4</f>
        <v>3.1746031746031746E-4</v>
      </c>
      <c r="E198" s="34">
        <f t="shared" si="7"/>
        <v>-6.175770944163262E-3</v>
      </c>
    </row>
    <row r="199" spans="1:5" x14ac:dyDescent="0.25">
      <c r="A199" s="33">
        <v>41193</v>
      </c>
      <c r="B199">
        <v>362</v>
      </c>
      <c r="C199" s="34">
        <f t="shared" si="6"/>
        <v>-7.8114293545292757E-3</v>
      </c>
      <c r="D199" s="34">
        <f>Nifty!$H$4</f>
        <v>3.1746031746031746E-4</v>
      </c>
      <c r="E199" s="34">
        <f t="shared" si="7"/>
        <v>-8.1288896719895927E-3</v>
      </c>
    </row>
    <row r="200" spans="1:5" x14ac:dyDescent="0.25">
      <c r="A200" s="33">
        <v>41194</v>
      </c>
      <c r="B200">
        <v>355</v>
      </c>
      <c r="C200" s="34">
        <f t="shared" si="6"/>
        <v>-1.9337016574585641E-2</v>
      </c>
      <c r="D200" s="34">
        <f>Nifty!$H$4</f>
        <v>3.1746031746031746E-4</v>
      </c>
      <c r="E200" s="34">
        <f t="shared" si="7"/>
        <v>-1.9654476892045959E-2</v>
      </c>
    </row>
    <row r="201" spans="1:5" x14ac:dyDescent="0.25">
      <c r="A201" s="33">
        <v>41197</v>
      </c>
      <c r="B201">
        <v>351</v>
      </c>
      <c r="C201" s="34">
        <f t="shared" si="6"/>
        <v>-1.1267605633802802E-2</v>
      </c>
      <c r="D201" s="34">
        <f>Nifty!$H$4</f>
        <v>3.1746031746031746E-4</v>
      </c>
      <c r="E201" s="34">
        <f t="shared" si="7"/>
        <v>-1.1585065951263119E-2</v>
      </c>
    </row>
    <row r="202" spans="1:5" x14ac:dyDescent="0.25">
      <c r="A202" s="33">
        <v>41198</v>
      </c>
      <c r="B202">
        <v>353.1</v>
      </c>
      <c r="C202" s="34">
        <f t="shared" si="6"/>
        <v>5.9829059829059617E-3</v>
      </c>
      <c r="D202" s="34">
        <f>Nifty!$H$4</f>
        <v>3.1746031746031746E-4</v>
      </c>
      <c r="E202" s="34">
        <f t="shared" si="7"/>
        <v>5.6654456654456446E-3</v>
      </c>
    </row>
    <row r="203" spans="1:5" x14ac:dyDescent="0.25">
      <c r="A203" s="33">
        <v>41199</v>
      </c>
      <c r="B203">
        <v>353.55</v>
      </c>
      <c r="C203" s="34">
        <f t="shared" si="6"/>
        <v>1.2744265080713024E-3</v>
      </c>
      <c r="D203" s="34">
        <f>Nifty!$H$4</f>
        <v>3.1746031746031746E-4</v>
      </c>
      <c r="E203" s="34">
        <f t="shared" si="7"/>
        <v>9.5696619061098496E-4</v>
      </c>
    </row>
    <row r="204" spans="1:5" x14ac:dyDescent="0.25">
      <c r="A204" s="33">
        <v>41200</v>
      </c>
      <c r="B204">
        <v>352.4</v>
      </c>
      <c r="C204" s="34">
        <f t="shared" si="6"/>
        <v>-3.2527223872155231E-3</v>
      </c>
      <c r="D204" s="34">
        <f>Nifty!$H$4</f>
        <v>3.1746031746031746E-4</v>
      </c>
      <c r="E204" s="34">
        <f t="shared" si="7"/>
        <v>-3.5701827046758406E-3</v>
      </c>
    </row>
    <row r="205" spans="1:5" x14ac:dyDescent="0.25">
      <c r="A205" s="33">
        <v>41201</v>
      </c>
      <c r="B205">
        <v>347.6</v>
      </c>
      <c r="C205" s="34">
        <f t="shared" si="6"/>
        <v>-1.3620885357548129E-2</v>
      </c>
      <c r="D205" s="34">
        <f>Nifty!$H$4</f>
        <v>3.1746031746031746E-4</v>
      </c>
      <c r="E205" s="34">
        <f t="shared" si="7"/>
        <v>-1.3938345675008446E-2</v>
      </c>
    </row>
    <row r="206" spans="1:5" x14ac:dyDescent="0.25">
      <c r="A206" s="33">
        <v>41204</v>
      </c>
      <c r="B206">
        <v>347</v>
      </c>
      <c r="C206" s="34">
        <f t="shared" si="6"/>
        <v>-1.7261219792865656E-3</v>
      </c>
      <c r="D206" s="34">
        <f>Nifty!$H$4</f>
        <v>3.1746031746031746E-4</v>
      </c>
      <c r="E206" s="34">
        <f t="shared" si="7"/>
        <v>-2.0435822967468831E-3</v>
      </c>
    </row>
    <row r="207" spans="1:5" x14ac:dyDescent="0.25">
      <c r="A207" s="33">
        <v>41205</v>
      </c>
      <c r="B207">
        <v>342.05</v>
      </c>
      <c r="C207" s="34">
        <f t="shared" si="6"/>
        <v>-1.4265129682997091E-2</v>
      </c>
      <c r="D207" s="34">
        <f>Nifty!$H$4</f>
        <v>3.1746031746031746E-4</v>
      </c>
      <c r="E207" s="34">
        <f t="shared" si="7"/>
        <v>-1.4582590000457408E-2</v>
      </c>
    </row>
    <row r="208" spans="1:5" x14ac:dyDescent="0.25">
      <c r="A208" s="33">
        <v>41207</v>
      </c>
      <c r="B208">
        <v>344.5</v>
      </c>
      <c r="C208" s="34">
        <f t="shared" si="6"/>
        <v>7.1626955123520464E-3</v>
      </c>
      <c r="D208" s="34">
        <f>Nifty!$H$4</f>
        <v>3.1746031746031746E-4</v>
      </c>
      <c r="E208" s="34">
        <f t="shared" si="7"/>
        <v>6.8452351948917294E-3</v>
      </c>
    </row>
    <row r="209" spans="1:5" x14ac:dyDescent="0.25">
      <c r="A209" s="33">
        <v>41208</v>
      </c>
      <c r="B209">
        <v>339.8</v>
      </c>
      <c r="C209" s="34">
        <f t="shared" si="6"/>
        <v>-1.3642960812772054E-2</v>
      </c>
      <c r="D209" s="34">
        <f>Nifty!$H$4</f>
        <v>3.1746031746031746E-4</v>
      </c>
      <c r="E209" s="34">
        <f t="shared" si="7"/>
        <v>-1.3960421130232371E-2</v>
      </c>
    </row>
    <row r="210" spans="1:5" x14ac:dyDescent="0.25">
      <c r="A210" s="33">
        <v>41211</v>
      </c>
      <c r="B210">
        <v>340</v>
      </c>
      <c r="C210" s="34">
        <f t="shared" si="6"/>
        <v>5.8858151854024321E-4</v>
      </c>
      <c r="D210" s="34">
        <f>Nifty!$H$4</f>
        <v>3.1746031746031746E-4</v>
      </c>
      <c r="E210" s="34">
        <f t="shared" si="7"/>
        <v>2.7112120107992575E-4</v>
      </c>
    </row>
    <row r="211" spans="1:5" x14ac:dyDescent="0.25">
      <c r="A211" s="33">
        <v>41212</v>
      </c>
      <c r="B211">
        <v>345.25</v>
      </c>
      <c r="C211" s="34">
        <f t="shared" si="6"/>
        <v>1.544117647058818E-2</v>
      </c>
      <c r="D211" s="34">
        <f>Nifty!$H$4</f>
        <v>3.1746031746031746E-4</v>
      </c>
      <c r="E211" s="34">
        <f t="shared" si="7"/>
        <v>1.5123716153127863E-2</v>
      </c>
    </row>
    <row r="212" spans="1:5" x14ac:dyDescent="0.25">
      <c r="A212" s="33">
        <v>41213</v>
      </c>
      <c r="B212">
        <v>348.1</v>
      </c>
      <c r="C212" s="34">
        <f t="shared" si="6"/>
        <v>8.2548877624910588E-3</v>
      </c>
      <c r="D212" s="34">
        <f>Nifty!$H$4</f>
        <v>3.1746031746031746E-4</v>
      </c>
      <c r="E212" s="34">
        <f t="shared" si="7"/>
        <v>7.9374274450307418E-3</v>
      </c>
    </row>
    <row r="213" spans="1:5" x14ac:dyDescent="0.25">
      <c r="A213" s="33">
        <v>41214</v>
      </c>
      <c r="B213">
        <v>348</v>
      </c>
      <c r="C213" s="34">
        <f t="shared" si="6"/>
        <v>-2.8727377190473913E-4</v>
      </c>
      <c r="D213" s="34">
        <f>Nifty!$H$4</f>
        <v>3.1746031746031746E-4</v>
      </c>
      <c r="E213" s="34">
        <f t="shared" si="7"/>
        <v>-6.0473408936505659E-4</v>
      </c>
    </row>
    <row r="214" spans="1:5" x14ac:dyDescent="0.25">
      <c r="A214" s="33">
        <v>41215</v>
      </c>
      <c r="B214">
        <v>370</v>
      </c>
      <c r="C214" s="34">
        <f t="shared" si="6"/>
        <v>6.321839080459779E-2</v>
      </c>
      <c r="D214" s="34">
        <f>Nifty!$H$4</f>
        <v>3.1746031746031746E-4</v>
      </c>
      <c r="E214" s="34">
        <f t="shared" si="7"/>
        <v>6.2900930487137477E-2</v>
      </c>
    </row>
    <row r="215" spans="1:5" x14ac:dyDescent="0.25">
      <c r="A215" s="33">
        <v>41218</v>
      </c>
      <c r="B215">
        <v>364.95</v>
      </c>
      <c r="C215" s="34">
        <f t="shared" si="6"/>
        <v>-1.3648648648648676E-2</v>
      </c>
      <c r="D215" s="34">
        <f>Nifty!$H$4</f>
        <v>3.1746031746031746E-4</v>
      </c>
      <c r="E215" s="34">
        <f t="shared" si="7"/>
        <v>-1.3966108966108993E-2</v>
      </c>
    </row>
    <row r="216" spans="1:5" x14ac:dyDescent="0.25">
      <c r="A216" s="33">
        <v>41219</v>
      </c>
      <c r="B216">
        <v>362.5</v>
      </c>
      <c r="C216" s="34">
        <f t="shared" si="6"/>
        <v>-6.713248390190385E-3</v>
      </c>
      <c r="D216" s="34">
        <f>Nifty!$H$4</f>
        <v>3.1746031746031746E-4</v>
      </c>
      <c r="E216" s="34">
        <f t="shared" si="7"/>
        <v>-7.030708707650702E-3</v>
      </c>
    </row>
    <row r="217" spans="1:5" x14ac:dyDescent="0.25">
      <c r="A217" s="33">
        <v>41220</v>
      </c>
      <c r="B217">
        <v>366</v>
      </c>
      <c r="C217" s="34">
        <f t="shared" si="6"/>
        <v>9.6551724137932116E-3</v>
      </c>
      <c r="D217" s="34">
        <f>Nifty!$H$4</f>
        <v>3.1746031746031746E-4</v>
      </c>
      <c r="E217" s="34">
        <f t="shared" si="7"/>
        <v>9.3377120963328945E-3</v>
      </c>
    </row>
    <row r="218" spans="1:5" x14ac:dyDescent="0.25">
      <c r="A218" s="33">
        <v>41221</v>
      </c>
      <c r="B218">
        <v>364.9</v>
      </c>
      <c r="C218" s="34">
        <f t="shared" si="6"/>
        <v>-3.0054644808743536E-3</v>
      </c>
      <c r="D218" s="34">
        <f>Nifty!$H$4</f>
        <v>3.1746031746031746E-4</v>
      </c>
      <c r="E218" s="34">
        <f t="shared" si="7"/>
        <v>-3.322924798334671E-3</v>
      </c>
    </row>
    <row r="219" spans="1:5" x14ac:dyDescent="0.25">
      <c r="A219" s="33">
        <v>41222</v>
      </c>
      <c r="B219">
        <v>375.45</v>
      </c>
      <c r="C219" s="34">
        <f t="shared" si="6"/>
        <v>2.8912030693340585E-2</v>
      </c>
      <c r="D219" s="34">
        <f>Nifty!$H$4</f>
        <v>3.1746031746031746E-4</v>
      </c>
      <c r="E219" s="34">
        <f t="shared" si="7"/>
        <v>2.8594570375880268E-2</v>
      </c>
    </row>
    <row r="220" spans="1:5" x14ac:dyDescent="0.25">
      <c r="A220" s="33">
        <v>41225</v>
      </c>
      <c r="B220">
        <v>370.2</v>
      </c>
      <c r="C220" s="34">
        <f t="shared" si="6"/>
        <v>-1.3983220135836971E-2</v>
      </c>
      <c r="D220" s="34">
        <f>Nifty!$H$4</f>
        <v>3.1746031746031746E-4</v>
      </c>
      <c r="E220" s="34">
        <f t="shared" si="7"/>
        <v>-1.4300680453297288E-2</v>
      </c>
    </row>
    <row r="221" spans="1:5" x14ac:dyDescent="0.25">
      <c r="A221" s="33">
        <v>41226</v>
      </c>
      <c r="B221">
        <v>370</v>
      </c>
      <c r="C221" s="34">
        <f t="shared" si="6"/>
        <v>-5.4024851431655474E-4</v>
      </c>
      <c r="D221" s="34">
        <f>Nifty!$H$4</f>
        <v>3.1746031746031746E-4</v>
      </c>
      <c r="E221" s="34">
        <f t="shared" si="7"/>
        <v>-8.577088317768722E-4</v>
      </c>
    </row>
    <row r="222" spans="1:5" x14ac:dyDescent="0.25">
      <c r="A222" s="33">
        <v>41228</v>
      </c>
      <c r="B222">
        <v>368.2</v>
      </c>
      <c r="C222" s="34">
        <f t="shared" si="6"/>
        <v>-4.8648648648649262E-3</v>
      </c>
      <c r="D222" s="34">
        <f>Nifty!$H$4</f>
        <v>3.1746031746031746E-4</v>
      </c>
      <c r="E222" s="34">
        <f t="shared" si="7"/>
        <v>-5.1823251823252432E-3</v>
      </c>
    </row>
    <row r="223" spans="1:5" x14ac:dyDescent="0.25">
      <c r="A223" s="33">
        <v>41229</v>
      </c>
      <c r="B223">
        <v>361</v>
      </c>
      <c r="C223" s="34">
        <f t="shared" si="6"/>
        <v>-1.9554589896795149E-2</v>
      </c>
      <c r="D223" s="34">
        <f>Nifty!$H$4</f>
        <v>3.1746031746031746E-4</v>
      </c>
      <c r="E223" s="34">
        <f t="shared" si="7"/>
        <v>-1.9872050214255466E-2</v>
      </c>
    </row>
    <row r="224" spans="1:5" x14ac:dyDescent="0.25">
      <c r="A224" s="33">
        <v>41232</v>
      </c>
      <c r="B224">
        <v>358.35</v>
      </c>
      <c r="C224" s="34">
        <f t="shared" si="6"/>
        <v>-7.3407202216065892E-3</v>
      </c>
      <c r="D224" s="34">
        <f>Nifty!$H$4</f>
        <v>3.1746031746031746E-4</v>
      </c>
      <c r="E224" s="34">
        <f t="shared" si="7"/>
        <v>-7.6581805390669062E-3</v>
      </c>
    </row>
    <row r="225" spans="1:5" x14ac:dyDescent="0.25">
      <c r="A225" s="33">
        <v>41233</v>
      </c>
      <c r="B225">
        <v>361</v>
      </c>
      <c r="C225" s="34">
        <f t="shared" si="6"/>
        <v>7.3950048834936499E-3</v>
      </c>
      <c r="D225" s="34">
        <f>Nifty!$H$4</f>
        <v>3.1746031746031746E-4</v>
      </c>
      <c r="E225" s="34">
        <f t="shared" si="7"/>
        <v>7.0775445660333329E-3</v>
      </c>
    </row>
    <row r="226" spans="1:5" x14ac:dyDescent="0.25">
      <c r="A226" s="33">
        <v>41234</v>
      </c>
      <c r="B226">
        <v>361.6</v>
      </c>
      <c r="C226" s="34">
        <f t="shared" si="6"/>
        <v>1.6620498614958734E-3</v>
      </c>
      <c r="D226" s="34">
        <f>Nifty!$H$4</f>
        <v>3.1746031746031746E-4</v>
      </c>
      <c r="E226" s="34">
        <f t="shared" si="7"/>
        <v>1.344589544035556E-3</v>
      </c>
    </row>
    <row r="227" spans="1:5" x14ac:dyDescent="0.25">
      <c r="A227" s="33">
        <v>41235</v>
      </c>
      <c r="B227">
        <v>368.15</v>
      </c>
      <c r="C227" s="34">
        <f t="shared" si="6"/>
        <v>1.8113938053097245E-2</v>
      </c>
      <c r="D227" s="34">
        <f>Nifty!$H$4</f>
        <v>3.1746031746031746E-4</v>
      </c>
      <c r="E227" s="34">
        <f t="shared" si="7"/>
        <v>1.7796477735636928E-2</v>
      </c>
    </row>
    <row r="228" spans="1:5" x14ac:dyDescent="0.25">
      <c r="A228" s="33">
        <v>41236</v>
      </c>
      <c r="B228">
        <v>372</v>
      </c>
      <c r="C228" s="34">
        <f t="shared" si="6"/>
        <v>1.045769387477935E-2</v>
      </c>
      <c r="D228" s="34">
        <f>Nifty!$H$4</f>
        <v>3.1746031746031746E-4</v>
      </c>
      <c r="E228" s="34">
        <f t="shared" si="7"/>
        <v>1.0140233557319033E-2</v>
      </c>
    </row>
    <row r="229" spans="1:5" x14ac:dyDescent="0.25">
      <c r="A229" s="33">
        <v>41239</v>
      </c>
      <c r="B229">
        <v>368</v>
      </c>
      <c r="C229" s="34">
        <f t="shared" si="6"/>
        <v>-1.0752688172043001E-2</v>
      </c>
      <c r="D229" s="34">
        <f>Nifty!$H$4</f>
        <v>3.1746031746031746E-4</v>
      </c>
      <c r="E229" s="34">
        <f t="shared" si="7"/>
        <v>-1.1070148489503318E-2</v>
      </c>
    </row>
    <row r="230" spans="1:5" x14ac:dyDescent="0.25">
      <c r="A230" s="33">
        <v>41240</v>
      </c>
      <c r="B230">
        <v>376</v>
      </c>
      <c r="C230" s="34">
        <f t="shared" si="6"/>
        <v>2.1739130434782705E-2</v>
      </c>
      <c r="D230" s="34">
        <f>Nifty!$H$4</f>
        <v>3.1746031746031746E-4</v>
      </c>
      <c r="E230" s="34">
        <f t="shared" si="7"/>
        <v>2.1421670117322388E-2</v>
      </c>
    </row>
    <row r="231" spans="1:5" x14ac:dyDescent="0.25">
      <c r="A231" s="33">
        <v>41242</v>
      </c>
      <c r="B231">
        <v>377.55</v>
      </c>
      <c r="C231" s="34">
        <f t="shared" si="6"/>
        <v>4.1223404255319451E-3</v>
      </c>
      <c r="D231" s="34">
        <f>Nifty!$H$4</f>
        <v>3.1746031746031746E-4</v>
      </c>
      <c r="E231" s="34">
        <f t="shared" si="7"/>
        <v>3.8048801080716277E-3</v>
      </c>
    </row>
    <row r="232" spans="1:5" x14ac:dyDescent="0.25">
      <c r="A232" s="33">
        <v>41243</v>
      </c>
      <c r="B232">
        <v>385.3</v>
      </c>
      <c r="C232" s="34">
        <f t="shared" si="6"/>
        <v>2.0527082505628291E-2</v>
      </c>
      <c r="D232" s="34">
        <f>Nifty!$H$4</f>
        <v>3.1746031746031746E-4</v>
      </c>
      <c r="E232" s="34">
        <f t="shared" si="7"/>
        <v>2.0209622188167974E-2</v>
      </c>
    </row>
    <row r="233" spans="1:5" x14ac:dyDescent="0.25">
      <c r="A233" s="33">
        <v>41246</v>
      </c>
      <c r="B233">
        <v>393.1</v>
      </c>
      <c r="C233" s="34">
        <f t="shared" si="6"/>
        <v>2.0243965740980974E-2</v>
      </c>
      <c r="D233" s="34">
        <f>Nifty!$H$4</f>
        <v>3.1746031746031746E-4</v>
      </c>
      <c r="E233" s="34">
        <f t="shared" si="7"/>
        <v>1.9926505423520657E-2</v>
      </c>
    </row>
    <row r="234" spans="1:5" x14ac:dyDescent="0.25">
      <c r="A234" s="33">
        <v>41247</v>
      </c>
      <c r="B234">
        <v>395.1</v>
      </c>
      <c r="C234" s="34">
        <f t="shared" si="6"/>
        <v>5.0877639277537856E-3</v>
      </c>
      <c r="D234" s="34">
        <f>Nifty!$H$4</f>
        <v>3.1746031746031746E-4</v>
      </c>
      <c r="E234" s="34">
        <f t="shared" si="7"/>
        <v>4.7703036102934686E-3</v>
      </c>
    </row>
    <row r="235" spans="1:5" x14ac:dyDescent="0.25">
      <c r="A235" s="33">
        <v>41248</v>
      </c>
      <c r="B235">
        <v>388.55</v>
      </c>
      <c r="C235" s="34">
        <f t="shared" si="6"/>
        <v>-1.6578081498354824E-2</v>
      </c>
      <c r="D235" s="34">
        <f>Nifty!$H$4</f>
        <v>3.1746031746031746E-4</v>
      </c>
      <c r="E235" s="34">
        <f t="shared" si="7"/>
        <v>-1.6895541815815141E-2</v>
      </c>
    </row>
    <row r="236" spans="1:5" x14ac:dyDescent="0.25">
      <c r="A236" s="33">
        <v>41249</v>
      </c>
      <c r="B236">
        <v>382.65</v>
      </c>
      <c r="C236" s="34">
        <f t="shared" si="6"/>
        <v>-1.5184660918800774E-2</v>
      </c>
      <c r="D236" s="34">
        <f>Nifty!$H$4</f>
        <v>3.1746031746031746E-4</v>
      </c>
      <c r="E236" s="34">
        <f t="shared" si="7"/>
        <v>-1.5502121236261091E-2</v>
      </c>
    </row>
    <row r="237" spans="1:5" x14ac:dyDescent="0.25">
      <c r="A237" s="33">
        <v>41250</v>
      </c>
      <c r="B237">
        <v>382.65</v>
      </c>
      <c r="C237" s="34">
        <f t="shared" si="6"/>
        <v>0</v>
      </c>
      <c r="D237" s="34">
        <f>Nifty!$H$4</f>
        <v>3.1746031746031746E-4</v>
      </c>
      <c r="E237" s="34">
        <f t="shared" si="7"/>
        <v>-3.1746031746031746E-4</v>
      </c>
    </row>
    <row r="238" spans="1:5" x14ac:dyDescent="0.25">
      <c r="A238" s="33">
        <v>41253</v>
      </c>
      <c r="B238">
        <v>389.85</v>
      </c>
      <c r="C238" s="34">
        <f t="shared" si="6"/>
        <v>1.8816150529204378E-2</v>
      </c>
      <c r="D238" s="34">
        <f>Nifty!$H$4</f>
        <v>3.1746031746031746E-4</v>
      </c>
      <c r="E238" s="34">
        <f t="shared" si="7"/>
        <v>1.8498690211744061E-2</v>
      </c>
    </row>
    <row r="239" spans="1:5" x14ac:dyDescent="0.25">
      <c r="A239" s="33">
        <v>41254</v>
      </c>
      <c r="B239">
        <v>384.5</v>
      </c>
      <c r="C239" s="34">
        <f t="shared" si="6"/>
        <v>-1.3723226882134232E-2</v>
      </c>
      <c r="D239" s="34">
        <f>Nifty!$H$4</f>
        <v>3.1746031746031746E-4</v>
      </c>
      <c r="E239" s="34">
        <f t="shared" si="7"/>
        <v>-1.4040687199594549E-2</v>
      </c>
    </row>
    <row r="240" spans="1:5" x14ac:dyDescent="0.25">
      <c r="A240" s="33">
        <v>41255</v>
      </c>
      <c r="B240">
        <v>381.4</v>
      </c>
      <c r="C240" s="34">
        <f t="shared" si="6"/>
        <v>-8.0624187256177482E-3</v>
      </c>
      <c r="D240" s="34">
        <f>Nifty!$H$4</f>
        <v>3.1746031746031746E-4</v>
      </c>
      <c r="E240" s="34">
        <f t="shared" si="7"/>
        <v>-8.3798790430780652E-3</v>
      </c>
    </row>
    <row r="241" spans="1:5" x14ac:dyDescent="0.25">
      <c r="A241" s="33">
        <v>41256</v>
      </c>
      <c r="B241">
        <v>374.8</v>
      </c>
      <c r="C241" s="34">
        <f t="shared" si="6"/>
        <v>-1.730466701625577E-2</v>
      </c>
      <c r="D241" s="34">
        <f>Nifty!$H$4</f>
        <v>3.1746031746031746E-4</v>
      </c>
      <c r="E241" s="34">
        <f t="shared" si="7"/>
        <v>-1.7622127333716087E-2</v>
      </c>
    </row>
    <row r="242" spans="1:5" x14ac:dyDescent="0.25">
      <c r="A242" s="33">
        <v>41257</v>
      </c>
      <c r="B242">
        <v>372.35</v>
      </c>
      <c r="C242" s="34">
        <f t="shared" si="6"/>
        <v>-6.5368196371398124E-3</v>
      </c>
      <c r="D242" s="34">
        <f>Nifty!$H$4</f>
        <v>3.1746031746031746E-4</v>
      </c>
      <c r="E242" s="34">
        <f t="shared" si="7"/>
        <v>-6.8542799546001294E-3</v>
      </c>
    </row>
    <row r="243" spans="1:5" x14ac:dyDescent="0.25">
      <c r="A243" s="33">
        <v>41260</v>
      </c>
      <c r="B243">
        <v>377</v>
      </c>
      <c r="C243" s="34">
        <f t="shared" si="6"/>
        <v>1.2488250302135073E-2</v>
      </c>
      <c r="D243" s="34">
        <f>Nifty!$H$4</f>
        <v>3.1746031746031746E-4</v>
      </c>
      <c r="E243" s="34">
        <f t="shared" si="7"/>
        <v>1.2170789984674756E-2</v>
      </c>
    </row>
    <row r="244" spans="1:5" x14ac:dyDescent="0.25">
      <c r="A244" s="33">
        <v>41261</v>
      </c>
      <c r="B244">
        <v>370.75</v>
      </c>
      <c r="C244" s="34">
        <f t="shared" si="6"/>
        <v>-1.6578249336870021E-2</v>
      </c>
      <c r="D244" s="34">
        <f>Nifty!$H$4</f>
        <v>3.1746031746031746E-4</v>
      </c>
      <c r="E244" s="34">
        <f t="shared" si="7"/>
        <v>-1.6895709654330338E-2</v>
      </c>
    </row>
    <row r="245" spans="1:5" x14ac:dyDescent="0.25">
      <c r="A245" s="33">
        <v>41262</v>
      </c>
      <c r="B245">
        <v>377.05</v>
      </c>
      <c r="C245" s="34">
        <f t="shared" si="6"/>
        <v>1.6992582602832096E-2</v>
      </c>
      <c r="D245" s="34">
        <f>Nifty!$H$4</f>
        <v>3.1746031746031746E-4</v>
      </c>
      <c r="E245" s="34">
        <f t="shared" si="7"/>
        <v>1.6675122285371779E-2</v>
      </c>
    </row>
    <row r="246" spans="1:5" x14ac:dyDescent="0.25">
      <c r="A246" s="33">
        <v>41263</v>
      </c>
      <c r="B246">
        <v>387.5</v>
      </c>
      <c r="C246" s="34">
        <f t="shared" si="6"/>
        <v>2.7715157140962621E-2</v>
      </c>
      <c r="D246" s="34">
        <f>Nifty!$H$4</f>
        <v>3.1746031746031746E-4</v>
      </c>
      <c r="E246" s="34">
        <f t="shared" si="7"/>
        <v>2.7397696823502304E-2</v>
      </c>
    </row>
    <row r="247" spans="1:5" x14ac:dyDescent="0.25">
      <c r="A247" s="33">
        <v>41264</v>
      </c>
      <c r="B247">
        <v>378.3</v>
      </c>
      <c r="C247" s="34">
        <f t="shared" si="6"/>
        <v>-2.3741935483870935E-2</v>
      </c>
      <c r="D247" s="34">
        <f>Nifty!$H$4</f>
        <v>3.1746031746031746E-4</v>
      </c>
      <c r="E247" s="34">
        <f t="shared" si="7"/>
        <v>-2.4059395801331252E-2</v>
      </c>
    </row>
    <row r="248" spans="1:5" x14ac:dyDescent="0.25">
      <c r="A248" s="33">
        <v>41267</v>
      </c>
      <c r="B248">
        <v>380.15</v>
      </c>
      <c r="C248" s="34">
        <f t="shared" si="6"/>
        <v>4.890298704731677E-3</v>
      </c>
      <c r="D248" s="34">
        <f>Nifty!$H$4</f>
        <v>3.1746031746031746E-4</v>
      </c>
      <c r="E248" s="34">
        <f t="shared" si="7"/>
        <v>4.57283838727136E-3</v>
      </c>
    </row>
    <row r="249" spans="1:5" x14ac:dyDescent="0.25">
      <c r="A249" s="33">
        <v>41269</v>
      </c>
      <c r="B249">
        <v>384.1</v>
      </c>
      <c r="C249" s="34">
        <f t="shared" si="6"/>
        <v>1.0390635275549176E-2</v>
      </c>
      <c r="D249" s="34">
        <f>Nifty!$H$4</f>
        <v>3.1746031746031746E-4</v>
      </c>
      <c r="E249" s="34">
        <f t="shared" si="7"/>
        <v>1.0073174958088859E-2</v>
      </c>
    </row>
    <row r="250" spans="1:5" x14ac:dyDescent="0.25">
      <c r="A250" s="33">
        <v>41270</v>
      </c>
      <c r="B250">
        <v>387.5</v>
      </c>
      <c r="C250" s="34">
        <f t="shared" si="6"/>
        <v>8.8518614944024243E-3</v>
      </c>
      <c r="D250" s="34">
        <f>Nifty!$H$4</f>
        <v>3.1746031746031746E-4</v>
      </c>
      <c r="E250" s="34">
        <f t="shared" si="7"/>
        <v>8.5344011769421073E-3</v>
      </c>
    </row>
    <row r="251" spans="1:5" x14ac:dyDescent="0.25">
      <c r="A251" s="33">
        <v>41271</v>
      </c>
      <c r="B251">
        <v>386.15</v>
      </c>
      <c r="C251" s="34">
        <f t="shared" si="6"/>
        <v>-3.4838709677419422E-3</v>
      </c>
      <c r="D251" s="34">
        <f>Nifty!$H$4</f>
        <v>3.1746031746031746E-4</v>
      </c>
      <c r="E251" s="34">
        <f t="shared" si="7"/>
        <v>-3.8013312852022596E-3</v>
      </c>
    </row>
    <row r="252" spans="1:5" x14ac:dyDescent="0.25">
      <c r="A252" s="33">
        <v>41274</v>
      </c>
      <c r="B252">
        <v>393.7</v>
      </c>
      <c r="C252" s="34">
        <f t="shared" si="6"/>
        <v>1.9551987569597307E-2</v>
      </c>
      <c r="D252" s="34">
        <f>Nifty!$H$4</f>
        <v>3.1746031746031746E-4</v>
      </c>
      <c r="E252" s="34">
        <f t="shared" si="7"/>
        <v>1.923452725213699E-2</v>
      </c>
    </row>
    <row r="253" spans="1:5" x14ac:dyDescent="0.25">
      <c r="A253" s="33">
        <v>41275</v>
      </c>
      <c r="B253">
        <v>396.05</v>
      </c>
      <c r="C253" s="34">
        <f t="shared" si="6"/>
        <v>5.9690119380240159E-3</v>
      </c>
      <c r="D253" s="34">
        <f>Nifty!$H$4</f>
        <v>3.1746031746031746E-4</v>
      </c>
      <c r="E253" s="34">
        <f t="shared" si="7"/>
        <v>5.6515516205636988E-3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3"/>
  <sheetViews>
    <sheetView workbookViewId="0">
      <selection activeCell="O2" sqref="O2"/>
    </sheetView>
  </sheetViews>
  <sheetFormatPr defaultRowHeight="15" x14ac:dyDescent="0.25"/>
  <cols>
    <col min="1" max="1" width="10.140625" bestFit="1" customWidth="1"/>
    <col min="7" max="7" width="30.28515625" bestFit="1" customWidth="1"/>
    <col min="8" max="8" width="12" bestFit="1" customWidth="1"/>
    <col min="9" max="11" width="10.5703125" bestFit="1" customWidth="1"/>
  </cols>
  <sheetData>
    <row r="1" spans="1:14" x14ac:dyDescent="0.25">
      <c r="A1" s="53" t="s">
        <v>157</v>
      </c>
      <c r="B1" s="53" t="s">
        <v>161</v>
      </c>
      <c r="C1" s="53" t="s">
        <v>198</v>
      </c>
      <c r="D1" s="53" t="s">
        <v>159</v>
      </c>
      <c r="E1" s="53" t="s">
        <v>199</v>
      </c>
    </row>
    <row r="2" spans="1:14" x14ac:dyDescent="0.25">
      <c r="A2" s="33">
        <v>40910</v>
      </c>
      <c r="B2">
        <v>4640.2</v>
      </c>
      <c r="G2" s="11"/>
      <c r="H2" s="48" t="s">
        <v>165</v>
      </c>
      <c r="I2" s="48" t="s">
        <v>166</v>
      </c>
      <c r="J2" s="11"/>
    </row>
    <row r="3" spans="1:14" x14ac:dyDescent="0.25">
      <c r="A3" s="33">
        <v>40911</v>
      </c>
      <c r="B3">
        <v>4675.8</v>
      </c>
      <c r="C3" s="34">
        <f>B3/B2 - 1</f>
        <v>7.6720830998664447E-3</v>
      </c>
      <c r="D3" s="35">
        <f>$H$4</f>
        <v>3.1746031746031746E-4</v>
      </c>
      <c r="E3" s="35">
        <f>C3-D3</f>
        <v>7.3546227824061276E-3</v>
      </c>
      <c r="G3" s="48" t="s">
        <v>162</v>
      </c>
      <c r="H3" s="11">
        <v>0.27589021647760037</v>
      </c>
      <c r="I3" s="11"/>
      <c r="J3" s="11"/>
    </row>
    <row r="4" spans="1:14" x14ac:dyDescent="0.25">
      <c r="A4" s="33">
        <v>40912</v>
      </c>
      <c r="B4">
        <v>4774.95</v>
      </c>
      <c r="C4" s="34">
        <f t="shared" ref="C4:C67" si="0">B4/B3 - 1</f>
        <v>2.1204927499037574E-2</v>
      </c>
      <c r="D4" s="35">
        <f t="shared" ref="D4:D67" si="1">$H$4</f>
        <v>3.1746031746031746E-4</v>
      </c>
      <c r="E4" s="35">
        <f t="shared" ref="E4:E67" si="2">C4-D4</f>
        <v>2.0887467181577257E-2</v>
      </c>
      <c r="G4" s="48" t="s">
        <v>163</v>
      </c>
      <c r="H4" s="36">
        <f>0.08/252</f>
        <v>3.1746031746031746E-4</v>
      </c>
      <c r="I4" s="38">
        <v>0.08</v>
      </c>
      <c r="J4" s="11"/>
    </row>
    <row r="5" spans="1:14" x14ac:dyDescent="0.25">
      <c r="A5" s="33">
        <v>40913</v>
      </c>
      <c r="B5">
        <v>4749</v>
      </c>
      <c r="C5" s="34">
        <f t="shared" si="0"/>
        <v>-5.4346118807526711E-3</v>
      </c>
      <c r="D5" s="35">
        <f t="shared" si="1"/>
        <v>3.1746031746031746E-4</v>
      </c>
      <c r="E5" s="35">
        <f t="shared" si="2"/>
        <v>-5.7520721982129881E-3</v>
      </c>
      <c r="G5" s="48" t="s">
        <v>164</v>
      </c>
      <c r="H5" s="37">
        <f>H4+H3*(AVERAGE(E3:E253))</f>
        <v>5.1478030774900906E-4</v>
      </c>
      <c r="I5" s="36">
        <f>(1+H5)^252-1</f>
        <v>0.13847683476766903</v>
      </c>
      <c r="J5" s="11"/>
    </row>
    <row r="6" spans="1:14" x14ac:dyDescent="0.25">
      <c r="A6" s="33">
        <v>40914</v>
      </c>
      <c r="B6">
        <v>4724.1499999999996</v>
      </c>
      <c r="C6" s="34">
        <f t="shared" si="0"/>
        <v>-5.2326805643294616E-3</v>
      </c>
      <c r="D6" s="35">
        <f t="shared" si="1"/>
        <v>3.1746031746031746E-4</v>
      </c>
      <c r="E6" s="35">
        <f t="shared" si="2"/>
        <v>-5.5501408817897786E-3</v>
      </c>
      <c r="G6" s="48" t="s">
        <v>167</v>
      </c>
      <c r="H6" s="11"/>
      <c r="I6" s="36">
        <f>(Assumptions!B13*'Int from Debt'!B5+Assumptions!B11*'Int from Debt'!B4+Assumptions!B10*'Int from Debt'!B3)/SUM('Int from Debt'!B3:B5)</f>
        <v>9.9997162798615466E-2</v>
      </c>
      <c r="J6" s="11"/>
    </row>
    <row r="7" spans="1:14" x14ac:dyDescent="0.25">
      <c r="A7" s="33">
        <v>40915</v>
      </c>
      <c r="B7">
        <v>4755.6000000000004</v>
      </c>
      <c r="C7" s="34">
        <f t="shared" si="0"/>
        <v>6.6572822624177963E-3</v>
      </c>
      <c r="D7" s="35">
        <f t="shared" si="1"/>
        <v>3.1746031746031746E-4</v>
      </c>
      <c r="E7" s="35">
        <f t="shared" si="2"/>
        <v>6.3398219449574793E-3</v>
      </c>
      <c r="G7" s="48" t="s">
        <v>168</v>
      </c>
      <c r="H7" s="11"/>
      <c r="I7" s="36">
        <v>0.13371830128663068</v>
      </c>
      <c r="J7" s="11">
        <f>I7+(BS!B15/BS!B12)*(1-Assumptions!B9)*(I7-I6)</f>
        <v>0.13847683476766903</v>
      </c>
    </row>
    <row r="8" spans="1:14" x14ac:dyDescent="0.25">
      <c r="A8" s="33">
        <v>40917</v>
      </c>
      <c r="B8">
        <v>4747.55</v>
      </c>
      <c r="C8" s="34">
        <f t="shared" si="0"/>
        <v>-1.6927411893347122E-3</v>
      </c>
      <c r="D8" s="35">
        <f t="shared" si="1"/>
        <v>3.1746031746031746E-4</v>
      </c>
      <c r="E8" s="35">
        <f t="shared" si="2"/>
        <v>-2.0102015067950296E-3</v>
      </c>
      <c r="H8" s="39"/>
      <c r="I8" s="35">
        <f>J7-I5</f>
        <v>0</v>
      </c>
    </row>
    <row r="9" spans="1:14" x14ac:dyDescent="0.25">
      <c r="A9" s="33">
        <v>40918</v>
      </c>
      <c r="B9">
        <v>4771.8500000000004</v>
      </c>
      <c r="C9" s="34">
        <f t="shared" si="0"/>
        <v>5.1184295057451479E-3</v>
      </c>
      <c r="D9" s="35">
        <f t="shared" si="1"/>
        <v>3.1746031746031746E-4</v>
      </c>
      <c r="E9" s="35">
        <f t="shared" si="2"/>
        <v>4.8009691882848309E-3</v>
      </c>
    </row>
    <row r="10" spans="1:14" x14ac:dyDescent="0.25">
      <c r="A10" s="33">
        <v>40919</v>
      </c>
      <c r="B10">
        <v>4863.1499999999996</v>
      </c>
      <c r="C10" s="34">
        <f t="shared" si="0"/>
        <v>1.9133040644613519E-2</v>
      </c>
      <c r="D10" s="35">
        <f t="shared" si="1"/>
        <v>3.1746031746031746E-4</v>
      </c>
      <c r="E10" s="35">
        <f t="shared" si="2"/>
        <v>1.8815580327153202E-2</v>
      </c>
      <c r="G10" s="72" t="s">
        <v>191</v>
      </c>
      <c r="H10" s="38">
        <v>0.02</v>
      </c>
    </row>
    <row r="11" spans="1:14" x14ac:dyDescent="0.25">
      <c r="A11" s="33">
        <v>40920</v>
      </c>
      <c r="B11">
        <v>4840.95</v>
      </c>
      <c r="C11" s="34">
        <f t="shared" si="0"/>
        <v>-4.5649424755559442E-3</v>
      </c>
      <c r="D11" s="35">
        <f t="shared" si="1"/>
        <v>3.1746031746031746E-4</v>
      </c>
      <c r="E11" s="35">
        <f t="shared" si="2"/>
        <v>-4.8824027930162613E-3</v>
      </c>
    </row>
    <row r="12" spans="1:14" x14ac:dyDescent="0.25">
      <c r="A12" s="33">
        <v>40921</v>
      </c>
      <c r="B12">
        <v>4861.95</v>
      </c>
      <c r="C12" s="34">
        <f t="shared" si="0"/>
        <v>4.3379915099308608E-3</v>
      </c>
      <c r="D12" s="35">
        <f t="shared" si="1"/>
        <v>3.1746031746031746E-4</v>
      </c>
      <c r="E12" s="35">
        <f t="shared" si="2"/>
        <v>4.0205311924705438E-3</v>
      </c>
      <c r="G12" s="9" t="s">
        <v>192</v>
      </c>
      <c r="L12" s="42"/>
      <c r="M12" s="42"/>
      <c r="N12" s="42"/>
    </row>
    <row r="13" spans="1:14" x14ac:dyDescent="0.25">
      <c r="A13" s="33">
        <v>40924</v>
      </c>
      <c r="B13">
        <v>4844</v>
      </c>
      <c r="C13" s="34">
        <f t="shared" si="0"/>
        <v>-3.6919343061939669E-3</v>
      </c>
      <c r="D13" s="35">
        <f t="shared" si="1"/>
        <v>3.1746031746031746E-4</v>
      </c>
      <c r="E13" s="35">
        <f t="shared" si="2"/>
        <v>-4.0093946236542839E-3</v>
      </c>
      <c r="G13" s="46">
        <f>CF!B16</f>
        <v>449.72901990787517</v>
      </c>
      <c r="H13" s="54">
        <v>0.01</v>
      </c>
      <c r="I13" s="54">
        <v>0.02</v>
      </c>
      <c r="J13" s="54">
        <v>0.03</v>
      </c>
      <c r="K13" s="54">
        <v>0.04</v>
      </c>
      <c r="L13" s="45"/>
      <c r="M13" s="45"/>
      <c r="N13" s="45"/>
    </row>
    <row r="14" spans="1:14" x14ac:dyDescent="0.25">
      <c r="A14" s="33">
        <v>40925</v>
      </c>
      <c r="B14">
        <v>4904.5</v>
      </c>
      <c r="C14" s="34">
        <f t="shared" si="0"/>
        <v>1.248967795210576E-2</v>
      </c>
      <c r="D14" s="35">
        <f t="shared" si="1"/>
        <v>3.1746031746031746E-4</v>
      </c>
      <c r="E14" s="35">
        <f t="shared" si="2"/>
        <v>1.2172217634645443E-2</v>
      </c>
      <c r="G14" s="54">
        <v>0.1</v>
      </c>
      <c r="H14" s="46">
        <f t="dataTable" ref="H14:K20" dt2D="1" dtr="1" r1="H10" r2="I7"/>
        <v>601.30263448203618</v>
      </c>
      <c r="I14" s="46">
        <v>660.91898348120822</v>
      </c>
      <c r="J14" s="46">
        <v>737.56857505157257</v>
      </c>
      <c r="K14" s="46">
        <v>839.76803047872454</v>
      </c>
      <c r="L14" s="42"/>
      <c r="M14" s="42"/>
      <c r="N14" s="42"/>
    </row>
    <row r="15" spans="1:14" x14ac:dyDescent="0.25">
      <c r="A15" s="33">
        <v>40926</v>
      </c>
      <c r="B15">
        <v>4977.75</v>
      </c>
      <c r="C15" s="34">
        <f t="shared" si="0"/>
        <v>1.4935263533489618E-2</v>
      </c>
      <c r="D15" s="35">
        <f t="shared" si="1"/>
        <v>3.1746031746031746E-4</v>
      </c>
      <c r="E15" s="35">
        <f t="shared" si="2"/>
        <v>1.4617803216029301E-2</v>
      </c>
      <c r="G15" s="54">
        <v>0.11</v>
      </c>
      <c r="H15" s="46">
        <v>535.51358889311336</v>
      </c>
      <c r="I15" s="46">
        <v>581.51108465864274</v>
      </c>
      <c r="J15" s="46">
        <v>639.00795436555438</v>
      </c>
      <c r="K15" s="46">
        <v>712.93250113158342</v>
      </c>
      <c r="L15" s="42"/>
      <c r="M15" s="42"/>
      <c r="N15" s="42"/>
    </row>
    <row r="16" spans="1:14" x14ac:dyDescent="0.25">
      <c r="A16" s="33">
        <v>40927</v>
      </c>
      <c r="B16">
        <v>4995</v>
      </c>
      <c r="C16" s="34">
        <f t="shared" si="0"/>
        <v>3.4654211240017219E-3</v>
      </c>
      <c r="D16" s="35">
        <f t="shared" si="1"/>
        <v>3.1746031746031746E-4</v>
      </c>
      <c r="E16" s="35">
        <f t="shared" si="2"/>
        <v>3.1479608065414044E-3</v>
      </c>
      <c r="G16" s="54">
        <v>0.12</v>
      </c>
      <c r="H16" s="46">
        <v>481.8844277701703</v>
      </c>
      <c r="I16" s="46">
        <v>518.19255401584064</v>
      </c>
      <c r="J16" s="46">
        <v>562.56915276054895</v>
      </c>
      <c r="K16" s="46">
        <v>618.03990119143452</v>
      </c>
      <c r="L16" s="42"/>
      <c r="M16" s="42"/>
      <c r="N16" s="42"/>
    </row>
    <row r="17" spans="1:14" x14ac:dyDescent="0.25">
      <c r="A17" s="33">
        <v>40928</v>
      </c>
      <c r="B17">
        <v>5044.8500000000004</v>
      </c>
      <c r="C17" s="34">
        <f t="shared" si="0"/>
        <v>9.9799799799800137E-3</v>
      </c>
      <c r="D17" s="35">
        <f t="shared" si="1"/>
        <v>3.1746031746031746E-4</v>
      </c>
      <c r="E17" s="35">
        <f t="shared" si="2"/>
        <v>9.6625196625196967E-3</v>
      </c>
      <c r="G17" s="54">
        <v>0.13</v>
      </c>
      <c r="H17" s="46">
        <v>437.36673019855203</v>
      </c>
      <c r="I17" s="46">
        <v>466.56659949955764</v>
      </c>
      <c r="J17" s="46">
        <v>501.60644266076451</v>
      </c>
      <c r="K17" s="46">
        <v>544.43291763557284</v>
      </c>
      <c r="L17" s="42"/>
      <c r="M17" s="42"/>
      <c r="N17" s="42"/>
    </row>
    <row r="18" spans="1:14" x14ac:dyDescent="0.25">
      <c r="A18" s="33">
        <v>40931</v>
      </c>
      <c r="B18">
        <v>5025.3500000000004</v>
      </c>
      <c r="C18" s="34">
        <f t="shared" si="0"/>
        <v>-3.8653280077702856E-3</v>
      </c>
      <c r="D18" s="35">
        <f t="shared" si="1"/>
        <v>3.1746031746031746E-4</v>
      </c>
      <c r="E18" s="35">
        <f t="shared" si="2"/>
        <v>-4.1827883252306026E-3</v>
      </c>
      <c r="G18" s="54">
        <v>0.14000000000000001</v>
      </c>
      <c r="H18" s="46">
        <v>399.85048714645745</v>
      </c>
      <c r="I18" s="46">
        <v>423.70247661863101</v>
      </c>
      <c r="J18" s="46">
        <v>451.89119144938155</v>
      </c>
      <c r="K18" s="46">
        <v>485.71764924628224</v>
      </c>
      <c r="L18" s="42"/>
      <c r="M18" s="42"/>
      <c r="N18" s="42"/>
    </row>
    <row r="19" spans="1:14" x14ac:dyDescent="0.25">
      <c r="A19" s="33">
        <v>40932</v>
      </c>
      <c r="B19">
        <v>5064.8</v>
      </c>
      <c r="C19" s="34">
        <f t="shared" si="0"/>
        <v>7.8501994885928905E-3</v>
      </c>
      <c r="D19" s="35">
        <f t="shared" si="1"/>
        <v>3.1746031746031746E-4</v>
      </c>
      <c r="E19" s="35">
        <f t="shared" si="2"/>
        <v>7.5327391711325735E-3</v>
      </c>
      <c r="G19" s="54">
        <v>0.15</v>
      </c>
      <c r="H19" s="46">
        <v>367.82892811613561</v>
      </c>
      <c r="I19" s="46">
        <v>387.57159706898022</v>
      </c>
      <c r="J19" s="46">
        <v>410.60471084729903</v>
      </c>
      <c r="K19" s="46">
        <v>437.82566349440299</v>
      </c>
      <c r="L19" s="42"/>
      <c r="M19" s="42"/>
      <c r="N19" s="42"/>
    </row>
    <row r="20" spans="1:14" x14ac:dyDescent="0.25">
      <c r="A20" s="33">
        <v>40933</v>
      </c>
      <c r="B20">
        <v>5151.5</v>
      </c>
      <c r="C20" s="34">
        <f t="shared" si="0"/>
        <v>1.7118148791660071E-2</v>
      </c>
      <c r="D20" s="35">
        <f t="shared" si="1"/>
        <v>3.1746031746031746E-4</v>
      </c>
      <c r="E20" s="35">
        <f t="shared" si="2"/>
        <v>1.6800688474199754E-2</v>
      </c>
      <c r="G20" s="54">
        <v>0.16</v>
      </c>
      <c r="H20" s="46">
        <v>340.19741893034706</v>
      </c>
      <c r="I20" s="46">
        <v>356.72530692355775</v>
      </c>
      <c r="J20" s="46">
        <v>375.79594691572396</v>
      </c>
      <c r="K20" s="46">
        <v>398.04502690658455</v>
      </c>
      <c r="L20" s="42"/>
      <c r="M20" s="42"/>
      <c r="N20" s="42"/>
    </row>
    <row r="21" spans="1:14" x14ac:dyDescent="0.25">
      <c r="A21" s="33">
        <v>40935</v>
      </c>
      <c r="B21">
        <v>5216.75</v>
      </c>
      <c r="C21" s="34">
        <f t="shared" si="0"/>
        <v>1.2666213724157993E-2</v>
      </c>
      <c r="D21" s="35">
        <f t="shared" si="1"/>
        <v>3.1746031746031746E-4</v>
      </c>
      <c r="E21" s="35">
        <f t="shared" si="2"/>
        <v>1.2348753406697676E-2</v>
      </c>
      <c r="G21" s="18"/>
      <c r="L21" s="42"/>
      <c r="M21" s="42"/>
      <c r="N21" s="42"/>
    </row>
    <row r="22" spans="1:14" x14ac:dyDescent="0.25">
      <c r="A22" s="33">
        <v>40938</v>
      </c>
      <c r="B22">
        <v>5163.55</v>
      </c>
      <c r="C22" s="34">
        <f t="shared" si="0"/>
        <v>-1.0197920161019725E-2</v>
      </c>
      <c r="D22" s="35">
        <f t="shared" si="1"/>
        <v>3.1746031746031746E-4</v>
      </c>
      <c r="E22" s="35">
        <f t="shared" si="2"/>
        <v>-1.0515380478480042E-2</v>
      </c>
      <c r="L22" s="42"/>
      <c r="M22" s="42"/>
      <c r="N22" s="42"/>
    </row>
    <row r="23" spans="1:14" x14ac:dyDescent="0.25">
      <c r="A23" s="33">
        <v>40939</v>
      </c>
      <c r="B23">
        <v>5125.25</v>
      </c>
      <c r="C23" s="34">
        <f t="shared" si="0"/>
        <v>-7.4173775793785479E-3</v>
      </c>
      <c r="D23" s="35">
        <f t="shared" si="1"/>
        <v>3.1746031746031746E-4</v>
      </c>
      <c r="E23" s="35">
        <f t="shared" si="2"/>
        <v>-7.7348378968388649E-3</v>
      </c>
      <c r="L23" s="42"/>
      <c r="M23" s="42"/>
      <c r="N23" s="42"/>
    </row>
    <row r="24" spans="1:14" x14ac:dyDescent="0.25">
      <c r="A24" s="33">
        <v>40940</v>
      </c>
      <c r="B24">
        <v>5198.1499999999996</v>
      </c>
      <c r="C24" s="34">
        <f t="shared" si="0"/>
        <v>1.4223696405053277E-2</v>
      </c>
      <c r="D24" s="35">
        <f t="shared" si="1"/>
        <v>3.1746031746031746E-4</v>
      </c>
      <c r="E24" s="35">
        <f t="shared" si="2"/>
        <v>1.390623608759296E-2</v>
      </c>
      <c r="L24" s="42"/>
      <c r="M24" s="42"/>
      <c r="N24" s="42"/>
    </row>
    <row r="25" spans="1:14" x14ac:dyDescent="0.25">
      <c r="A25" s="33">
        <v>40941</v>
      </c>
      <c r="B25">
        <v>5272.1</v>
      </c>
      <c r="C25" s="34">
        <f t="shared" si="0"/>
        <v>1.4226215095755279E-2</v>
      </c>
      <c r="D25" s="35">
        <f t="shared" si="1"/>
        <v>3.1746031746031746E-4</v>
      </c>
      <c r="E25" s="35">
        <f t="shared" si="2"/>
        <v>1.3908754778294962E-2</v>
      </c>
      <c r="L25" s="42"/>
      <c r="M25" s="42"/>
      <c r="N25" s="42"/>
    </row>
    <row r="26" spans="1:14" x14ac:dyDescent="0.25">
      <c r="A26" s="33">
        <v>40942</v>
      </c>
      <c r="B26">
        <v>5276.1</v>
      </c>
      <c r="C26" s="34">
        <f t="shared" si="0"/>
        <v>7.5871095009572009E-4</v>
      </c>
      <c r="D26" s="35">
        <f t="shared" si="1"/>
        <v>3.1746031746031746E-4</v>
      </c>
      <c r="E26" s="35">
        <f t="shared" si="2"/>
        <v>4.4125063263540263E-4</v>
      </c>
    </row>
    <row r="27" spans="1:14" x14ac:dyDescent="0.25">
      <c r="A27" s="33">
        <v>40945</v>
      </c>
      <c r="B27">
        <v>5379.45</v>
      </c>
      <c r="C27" s="34">
        <f t="shared" si="0"/>
        <v>1.9588332290896515E-2</v>
      </c>
      <c r="D27" s="35">
        <f t="shared" si="1"/>
        <v>3.1746031746031746E-4</v>
      </c>
      <c r="E27" s="35">
        <f t="shared" si="2"/>
        <v>1.9270871973436198E-2</v>
      </c>
    </row>
    <row r="28" spans="1:14" x14ac:dyDescent="0.25">
      <c r="A28" s="33">
        <v>40946</v>
      </c>
      <c r="B28">
        <v>5412.95</v>
      </c>
      <c r="C28" s="34">
        <f t="shared" si="0"/>
        <v>6.227402429616502E-3</v>
      </c>
      <c r="D28" s="35">
        <f t="shared" si="1"/>
        <v>3.1746031746031746E-4</v>
      </c>
      <c r="E28" s="35">
        <f t="shared" si="2"/>
        <v>5.909942112156185E-3</v>
      </c>
    </row>
    <row r="29" spans="1:14" x14ac:dyDescent="0.25">
      <c r="A29" s="33">
        <v>40947</v>
      </c>
      <c r="B29">
        <v>5343.8</v>
      </c>
      <c r="C29" s="34">
        <f t="shared" si="0"/>
        <v>-1.277491940623865E-2</v>
      </c>
      <c r="D29" s="35">
        <f t="shared" si="1"/>
        <v>3.1746031746031746E-4</v>
      </c>
      <c r="E29" s="35">
        <f t="shared" si="2"/>
        <v>-1.3092379723698967E-2</v>
      </c>
    </row>
    <row r="30" spans="1:14" x14ac:dyDescent="0.25">
      <c r="A30" s="33">
        <v>40948</v>
      </c>
      <c r="B30">
        <v>5343.05</v>
      </c>
      <c r="C30" s="34">
        <f t="shared" si="0"/>
        <v>-1.4034956398067955E-4</v>
      </c>
      <c r="D30" s="35">
        <f t="shared" si="1"/>
        <v>3.1746031746031746E-4</v>
      </c>
      <c r="E30" s="35">
        <f t="shared" si="2"/>
        <v>-4.5780988144099701E-4</v>
      </c>
    </row>
    <row r="31" spans="1:14" x14ac:dyDescent="0.25">
      <c r="A31" s="33">
        <v>40949</v>
      </c>
      <c r="B31">
        <v>5399.8</v>
      </c>
      <c r="C31" s="34">
        <f t="shared" si="0"/>
        <v>1.0621274365764766E-2</v>
      </c>
      <c r="D31" s="35">
        <f t="shared" si="1"/>
        <v>3.1746031746031746E-4</v>
      </c>
      <c r="E31" s="35">
        <f t="shared" si="2"/>
        <v>1.0303814048304449E-2</v>
      </c>
    </row>
    <row r="32" spans="1:14" x14ac:dyDescent="0.25">
      <c r="A32" s="33">
        <v>40952</v>
      </c>
      <c r="B32">
        <v>5382.1</v>
      </c>
      <c r="C32" s="34">
        <f t="shared" si="0"/>
        <v>-3.2778991814511604E-3</v>
      </c>
      <c r="D32" s="35">
        <f t="shared" si="1"/>
        <v>3.1746031746031746E-4</v>
      </c>
      <c r="E32" s="35">
        <f t="shared" si="2"/>
        <v>-3.5953594989114779E-3</v>
      </c>
    </row>
    <row r="33" spans="1:5" x14ac:dyDescent="0.25">
      <c r="A33" s="33">
        <v>40953</v>
      </c>
      <c r="B33">
        <v>5380.8</v>
      </c>
      <c r="C33" s="34">
        <f t="shared" si="0"/>
        <v>-2.4154140577103966E-4</v>
      </c>
      <c r="D33" s="35">
        <f t="shared" si="1"/>
        <v>3.1746031746031746E-4</v>
      </c>
      <c r="E33" s="35">
        <f t="shared" si="2"/>
        <v>-5.5900172323135712E-4</v>
      </c>
    </row>
    <row r="34" spans="1:5" x14ac:dyDescent="0.25">
      <c r="A34" s="33">
        <v>40954</v>
      </c>
      <c r="B34">
        <v>5460.6</v>
      </c>
      <c r="C34" s="34">
        <f t="shared" si="0"/>
        <v>1.4830508474576343E-2</v>
      </c>
      <c r="D34" s="35">
        <f t="shared" si="1"/>
        <v>3.1746031746031746E-4</v>
      </c>
      <c r="E34" s="35">
        <f t="shared" si="2"/>
        <v>1.4513048157116026E-2</v>
      </c>
    </row>
    <row r="35" spans="1:5" x14ac:dyDescent="0.25">
      <c r="A35" s="33">
        <v>40955</v>
      </c>
      <c r="B35">
        <v>5513.75</v>
      </c>
      <c r="C35" s="34">
        <f t="shared" si="0"/>
        <v>9.733362634142706E-3</v>
      </c>
      <c r="D35" s="35">
        <f t="shared" si="1"/>
        <v>3.1746031746031746E-4</v>
      </c>
      <c r="E35" s="35">
        <f t="shared" si="2"/>
        <v>9.4159023166823889E-3</v>
      </c>
    </row>
    <row r="36" spans="1:5" x14ac:dyDescent="0.25">
      <c r="A36" s="33">
        <v>40956</v>
      </c>
      <c r="B36">
        <v>5574.2</v>
      </c>
      <c r="C36" s="34">
        <f t="shared" si="0"/>
        <v>1.0963500340058996E-2</v>
      </c>
      <c r="D36" s="35">
        <f t="shared" si="1"/>
        <v>3.1746031746031746E-4</v>
      </c>
      <c r="E36" s="35">
        <f t="shared" si="2"/>
        <v>1.0646040022598679E-2</v>
      </c>
    </row>
    <row r="37" spans="1:5" x14ac:dyDescent="0.25">
      <c r="A37" s="33">
        <v>40960</v>
      </c>
      <c r="B37">
        <v>5561.9</v>
      </c>
      <c r="C37" s="34">
        <f t="shared" si="0"/>
        <v>-2.2065946682932047E-3</v>
      </c>
      <c r="D37" s="35">
        <f t="shared" si="1"/>
        <v>3.1746031746031746E-4</v>
      </c>
      <c r="E37" s="35">
        <f t="shared" si="2"/>
        <v>-2.5240549857535222E-3</v>
      </c>
    </row>
    <row r="38" spans="1:5" x14ac:dyDescent="0.25">
      <c r="A38" s="33">
        <v>40961</v>
      </c>
      <c r="B38">
        <v>5609.75</v>
      </c>
      <c r="C38" s="34">
        <f t="shared" si="0"/>
        <v>8.6031751739514828E-3</v>
      </c>
      <c r="D38" s="35">
        <f t="shared" si="1"/>
        <v>3.1746031746031746E-4</v>
      </c>
      <c r="E38" s="35">
        <f t="shared" si="2"/>
        <v>8.2857148564911658E-3</v>
      </c>
    </row>
    <row r="39" spans="1:5" x14ac:dyDescent="0.25">
      <c r="A39" s="33">
        <v>40962</v>
      </c>
      <c r="B39">
        <v>5490.05</v>
      </c>
      <c r="C39" s="34">
        <f t="shared" si="0"/>
        <v>-2.1337849280270937E-2</v>
      </c>
      <c r="D39" s="35">
        <f t="shared" si="1"/>
        <v>3.1746031746031746E-4</v>
      </c>
      <c r="E39" s="35">
        <f t="shared" si="2"/>
        <v>-2.1655309597731254E-2</v>
      </c>
    </row>
    <row r="40" spans="1:5" x14ac:dyDescent="0.25">
      <c r="A40" s="33">
        <v>40963</v>
      </c>
      <c r="B40">
        <v>5479.15</v>
      </c>
      <c r="C40" s="34">
        <f t="shared" si="0"/>
        <v>-1.9854099689439186E-3</v>
      </c>
      <c r="D40" s="35">
        <f t="shared" si="1"/>
        <v>3.1746031746031746E-4</v>
      </c>
      <c r="E40" s="35">
        <f t="shared" si="2"/>
        <v>-2.3028702864042361E-3</v>
      </c>
    </row>
    <row r="41" spans="1:5" x14ac:dyDescent="0.25">
      <c r="A41" s="33">
        <v>40966</v>
      </c>
      <c r="B41">
        <v>5448.1</v>
      </c>
      <c r="C41" s="34">
        <f t="shared" si="0"/>
        <v>-5.6669373899235209E-3</v>
      </c>
      <c r="D41" s="35">
        <f t="shared" si="1"/>
        <v>3.1746031746031746E-4</v>
      </c>
      <c r="E41" s="35">
        <f t="shared" si="2"/>
        <v>-5.9843977073838379E-3</v>
      </c>
    </row>
    <row r="42" spans="1:5" x14ac:dyDescent="0.25">
      <c r="A42" s="33">
        <v>40967</v>
      </c>
      <c r="B42">
        <v>5310.5</v>
      </c>
      <c r="C42" s="34">
        <f t="shared" si="0"/>
        <v>-2.5256511444356811E-2</v>
      </c>
      <c r="D42" s="35">
        <f t="shared" si="1"/>
        <v>3.1746031746031746E-4</v>
      </c>
      <c r="E42" s="35">
        <f t="shared" si="2"/>
        <v>-2.5573971761817128E-2</v>
      </c>
    </row>
    <row r="43" spans="1:5" x14ac:dyDescent="0.25">
      <c r="A43" s="33">
        <v>40968</v>
      </c>
      <c r="B43">
        <v>5424.95</v>
      </c>
      <c r="C43" s="34">
        <f t="shared" si="0"/>
        <v>2.1551642971471496E-2</v>
      </c>
      <c r="D43" s="35">
        <f t="shared" si="1"/>
        <v>3.1746031746031746E-4</v>
      </c>
      <c r="E43" s="35">
        <f t="shared" si="2"/>
        <v>2.1234182654011179E-2</v>
      </c>
    </row>
    <row r="44" spans="1:5" x14ac:dyDescent="0.25">
      <c r="A44" s="33">
        <v>40969</v>
      </c>
      <c r="B44">
        <v>5366</v>
      </c>
      <c r="C44" s="34">
        <f t="shared" si="0"/>
        <v>-1.0866459598705913E-2</v>
      </c>
      <c r="D44" s="35">
        <f t="shared" si="1"/>
        <v>3.1746031746031746E-4</v>
      </c>
      <c r="E44" s="35">
        <f t="shared" si="2"/>
        <v>-1.118391991616623E-2</v>
      </c>
    </row>
    <row r="45" spans="1:5" x14ac:dyDescent="0.25">
      <c r="A45" s="33">
        <v>40970</v>
      </c>
      <c r="B45">
        <v>5369.45</v>
      </c>
      <c r="C45" s="34">
        <f t="shared" si="0"/>
        <v>6.4293701080875287E-4</v>
      </c>
      <c r="D45" s="35">
        <f t="shared" si="1"/>
        <v>3.1746031746031746E-4</v>
      </c>
      <c r="E45" s="35">
        <f t="shared" si="2"/>
        <v>3.2547669334843541E-4</v>
      </c>
    </row>
    <row r="46" spans="1:5" x14ac:dyDescent="0.25">
      <c r="A46" s="33">
        <v>40971</v>
      </c>
      <c r="B46">
        <v>5360.05</v>
      </c>
      <c r="C46" s="34">
        <f t="shared" si="0"/>
        <v>-1.7506448518934681E-3</v>
      </c>
      <c r="D46" s="35">
        <f t="shared" si="1"/>
        <v>3.1746031746031746E-4</v>
      </c>
      <c r="E46" s="35">
        <f t="shared" si="2"/>
        <v>-2.0681051693537855E-3</v>
      </c>
    </row>
    <row r="47" spans="1:5" x14ac:dyDescent="0.25">
      <c r="A47" s="33">
        <v>40973</v>
      </c>
      <c r="B47">
        <v>5342.55</v>
      </c>
      <c r="C47" s="34">
        <f t="shared" si="0"/>
        <v>-3.2648949170249741E-3</v>
      </c>
      <c r="D47" s="35">
        <f t="shared" si="1"/>
        <v>3.1746031746031746E-4</v>
      </c>
      <c r="E47" s="35">
        <f t="shared" si="2"/>
        <v>-3.5823552344852916E-3</v>
      </c>
    </row>
    <row r="48" spans="1:5" x14ac:dyDescent="0.25">
      <c r="A48" s="33">
        <v>40974</v>
      </c>
      <c r="B48">
        <v>5266</v>
      </c>
      <c r="C48" s="34">
        <f t="shared" si="0"/>
        <v>-1.4328363796314525E-2</v>
      </c>
      <c r="D48" s="35">
        <f t="shared" si="1"/>
        <v>3.1746031746031746E-4</v>
      </c>
      <c r="E48" s="35">
        <f t="shared" si="2"/>
        <v>-1.4645824113774842E-2</v>
      </c>
    </row>
    <row r="49" spans="1:5" x14ac:dyDescent="0.25">
      <c r="A49" s="33">
        <v>40975</v>
      </c>
      <c r="B49">
        <v>5207.05</v>
      </c>
      <c r="C49" s="34">
        <f t="shared" si="0"/>
        <v>-1.1194454994303049E-2</v>
      </c>
      <c r="D49" s="35">
        <f t="shared" si="1"/>
        <v>3.1746031746031746E-4</v>
      </c>
      <c r="E49" s="35">
        <f t="shared" si="2"/>
        <v>-1.1511915311763366E-2</v>
      </c>
    </row>
    <row r="50" spans="1:5" x14ac:dyDescent="0.25">
      <c r="A50" s="33">
        <v>40977</v>
      </c>
      <c r="B50">
        <v>5294.1</v>
      </c>
      <c r="C50" s="34">
        <f t="shared" si="0"/>
        <v>1.6717719246022167E-2</v>
      </c>
      <c r="D50" s="35">
        <f t="shared" si="1"/>
        <v>3.1746031746031746E-4</v>
      </c>
      <c r="E50" s="35">
        <f t="shared" si="2"/>
        <v>1.640025892856185E-2</v>
      </c>
    </row>
    <row r="51" spans="1:5" x14ac:dyDescent="0.25">
      <c r="A51" s="33">
        <v>40980</v>
      </c>
      <c r="B51">
        <v>5420.1</v>
      </c>
      <c r="C51" s="34">
        <f t="shared" si="0"/>
        <v>2.3800079333597735E-2</v>
      </c>
      <c r="D51" s="35">
        <f t="shared" si="1"/>
        <v>3.1746031746031746E-4</v>
      </c>
      <c r="E51" s="35">
        <f t="shared" si="2"/>
        <v>2.3482619016137418E-2</v>
      </c>
    </row>
    <row r="52" spans="1:5" x14ac:dyDescent="0.25">
      <c r="A52" s="33">
        <v>40981</v>
      </c>
      <c r="B52">
        <v>5391.05</v>
      </c>
      <c r="C52" s="34">
        <f t="shared" si="0"/>
        <v>-5.3596797107064997E-3</v>
      </c>
      <c r="D52" s="35">
        <f t="shared" si="1"/>
        <v>3.1746031746031746E-4</v>
      </c>
      <c r="E52" s="35">
        <f t="shared" si="2"/>
        <v>-5.6771400281668168E-3</v>
      </c>
    </row>
    <row r="53" spans="1:5" x14ac:dyDescent="0.25">
      <c r="A53" s="33">
        <v>40982</v>
      </c>
      <c r="B53">
        <v>5490.55</v>
      </c>
      <c r="C53" s="34">
        <f t="shared" si="0"/>
        <v>1.8456515892080416E-2</v>
      </c>
      <c r="D53" s="35">
        <f t="shared" si="1"/>
        <v>3.1746031746031746E-4</v>
      </c>
      <c r="E53" s="35">
        <f t="shared" si="2"/>
        <v>1.8139055574620099E-2</v>
      </c>
    </row>
    <row r="54" spans="1:5" x14ac:dyDescent="0.25">
      <c r="A54" s="33">
        <v>40983</v>
      </c>
      <c r="B54">
        <v>5462.5</v>
      </c>
      <c r="C54" s="34">
        <f t="shared" si="0"/>
        <v>-5.108777809144871E-3</v>
      </c>
      <c r="D54" s="35">
        <f t="shared" si="1"/>
        <v>3.1746031746031746E-4</v>
      </c>
      <c r="E54" s="35">
        <f t="shared" si="2"/>
        <v>-5.426238126605188E-3</v>
      </c>
    </row>
    <row r="55" spans="1:5" x14ac:dyDescent="0.25">
      <c r="A55" s="33">
        <v>40984</v>
      </c>
      <c r="B55">
        <v>5380.35</v>
      </c>
      <c r="C55" s="34">
        <f t="shared" si="0"/>
        <v>-1.5038901601830634E-2</v>
      </c>
      <c r="D55" s="35">
        <f t="shared" si="1"/>
        <v>3.1746031746031746E-4</v>
      </c>
      <c r="E55" s="35">
        <f t="shared" si="2"/>
        <v>-1.5356361919290951E-2</v>
      </c>
    </row>
    <row r="56" spans="1:5" x14ac:dyDescent="0.25">
      <c r="A56" s="33">
        <v>40987</v>
      </c>
      <c r="B56">
        <v>5337.35</v>
      </c>
      <c r="C56" s="34">
        <f t="shared" si="0"/>
        <v>-7.9920451271757731E-3</v>
      </c>
      <c r="D56" s="35">
        <f t="shared" si="1"/>
        <v>3.1746031746031746E-4</v>
      </c>
      <c r="E56" s="35">
        <f t="shared" si="2"/>
        <v>-8.3095054446360901E-3</v>
      </c>
    </row>
    <row r="57" spans="1:5" x14ac:dyDescent="0.25">
      <c r="A57" s="33">
        <v>40988</v>
      </c>
      <c r="B57">
        <v>5257.15</v>
      </c>
      <c r="C57" s="34">
        <f t="shared" si="0"/>
        <v>-1.5026183405622784E-2</v>
      </c>
      <c r="D57" s="35">
        <f t="shared" si="1"/>
        <v>3.1746031746031746E-4</v>
      </c>
      <c r="E57" s="35">
        <f t="shared" si="2"/>
        <v>-1.5343643723083101E-2</v>
      </c>
    </row>
    <row r="58" spans="1:5" x14ac:dyDescent="0.25">
      <c r="A58" s="33">
        <v>40989</v>
      </c>
      <c r="B58">
        <v>5267.2</v>
      </c>
      <c r="C58" s="34">
        <f t="shared" si="0"/>
        <v>1.911682185214536E-3</v>
      </c>
      <c r="D58" s="35">
        <f t="shared" si="1"/>
        <v>3.1746031746031746E-4</v>
      </c>
      <c r="E58" s="35">
        <f t="shared" si="2"/>
        <v>1.5942218677542186E-3</v>
      </c>
    </row>
    <row r="59" spans="1:5" x14ac:dyDescent="0.25">
      <c r="A59" s="33">
        <v>40990</v>
      </c>
      <c r="B59">
        <v>5361.1</v>
      </c>
      <c r="C59" s="34">
        <f t="shared" si="0"/>
        <v>1.7827308626974681E-2</v>
      </c>
      <c r="D59" s="35">
        <f t="shared" si="1"/>
        <v>3.1746031746031746E-4</v>
      </c>
      <c r="E59" s="35">
        <f t="shared" si="2"/>
        <v>1.7509848309514364E-2</v>
      </c>
    </row>
    <row r="60" spans="1:5" x14ac:dyDescent="0.25">
      <c r="A60" s="33">
        <v>40991</v>
      </c>
      <c r="B60">
        <v>5255.65</v>
      </c>
      <c r="C60" s="34">
        <f t="shared" si="0"/>
        <v>-1.9669470817556212E-2</v>
      </c>
      <c r="D60" s="35">
        <f t="shared" si="1"/>
        <v>3.1746031746031746E-4</v>
      </c>
      <c r="E60" s="35">
        <f t="shared" si="2"/>
        <v>-1.9986931135016529E-2</v>
      </c>
    </row>
    <row r="61" spans="1:5" x14ac:dyDescent="0.25">
      <c r="A61" s="33">
        <v>40994</v>
      </c>
      <c r="B61">
        <v>5274.35</v>
      </c>
      <c r="C61" s="34">
        <f t="shared" si="0"/>
        <v>3.5580755948361187E-3</v>
      </c>
      <c r="D61" s="35">
        <f t="shared" si="1"/>
        <v>3.1746031746031746E-4</v>
      </c>
      <c r="E61" s="35">
        <f t="shared" si="2"/>
        <v>3.2406152773758012E-3</v>
      </c>
    </row>
    <row r="62" spans="1:5" x14ac:dyDescent="0.25">
      <c r="A62" s="33">
        <v>40995</v>
      </c>
      <c r="B62">
        <v>5242.95</v>
      </c>
      <c r="C62" s="34">
        <f t="shared" si="0"/>
        <v>-5.9533402220179887E-3</v>
      </c>
      <c r="D62" s="35">
        <f t="shared" si="1"/>
        <v>3.1746031746031746E-4</v>
      </c>
      <c r="E62" s="35">
        <f t="shared" si="2"/>
        <v>-6.2708005394783058E-3</v>
      </c>
    </row>
    <row r="63" spans="1:5" x14ac:dyDescent="0.25">
      <c r="A63" s="33">
        <v>40996</v>
      </c>
      <c r="B63">
        <v>5231.7</v>
      </c>
      <c r="C63" s="34">
        <f t="shared" si="0"/>
        <v>-2.1457385632134285E-3</v>
      </c>
      <c r="D63" s="35">
        <f t="shared" si="1"/>
        <v>3.1746031746031746E-4</v>
      </c>
      <c r="E63" s="35">
        <f t="shared" si="2"/>
        <v>-2.4631988806737459E-3</v>
      </c>
    </row>
    <row r="64" spans="1:5" x14ac:dyDescent="0.25">
      <c r="A64" s="33">
        <v>40997</v>
      </c>
      <c r="B64">
        <v>5145.95</v>
      </c>
      <c r="C64" s="34">
        <f t="shared" si="0"/>
        <v>-1.6390465814171251E-2</v>
      </c>
      <c r="D64" s="35">
        <f t="shared" si="1"/>
        <v>3.1746031746031746E-4</v>
      </c>
      <c r="E64" s="35">
        <f t="shared" si="2"/>
        <v>-1.6707926131631568E-2</v>
      </c>
    </row>
    <row r="65" spans="1:5" x14ac:dyDescent="0.25">
      <c r="A65" s="33">
        <v>40998</v>
      </c>
      <c r="B65">
        <v>5206.6000000000004</v>
      </c>
      <c r="C65" s="34">
        <f t="shared" si="0"/>
        <v>1.1785967605592917E-2</v>
      </c>
      <c r="D65" s="35">
        <f t="shared" si="1"/>
        <v>3.1746031746031746E-4</v>
      </c>
      <c r="E65" s="35">
        <f t="shared" si="2"/>
        <v>1.14685072881326E-2</v>
      </c>
    </row>
    <row r="66" spans="1:5" x14ac:dyDescent="0.25">
      <c r="A66" s="33">
        <v>41001</v>
      </c>
      <c r="B66">
        <v>5296.35</v>
      </c>
      <c r="C66" s="34">
        <f t="shared" si="0"/>
        <v>1.7237736718779928E-2</v>
      </c>
      <c r="D66" s="35">
        <f t="shared" si="1"/>
        <v>3.1746031746031746E-4</v>
      </c>
      <c r="E66" s="35">
        <f t="shared" si="2"/>
        <v>1.6920276401319611E-2</v>
      </c>
    </row>
    <row r="67" spans="1:5" x14ac:dyDescent="0.25">
      <c r="A67" s="33">
        <v>41002</v>
      </c>
      <c r="B67">
        <v>5353.2</v>
      </c>
      <c r="C67" s="34">
        <f t="shared" si="0"/>
        <v>1.0733807244611704E-2</v>
      </c>
      <c r="D67" s="35">
        <f t="shared" si="1"/>
        <v>3.1746031746031746E-4</v>
      </c>
      <c r="E67" s="35">
        <f t="shared" si="2"/>
        <v>1.0416346927151387E-2</v>
      </c>
    </row>
    <row r="68" spans="1:5" x14ac:dyDescent="0.25">
      <c r="A68" s="33">
        <v>41003</v>
      </c>
      <c r="B68">
        <v>5328.65</v>
      </c>
      <c r="C68" s="34">
        <f t="shared" ref="C68:C131" si="3">B68/B67 - 1</f>
        <v>-4.5860419935739305E-3</v>
      </c>
      <c r="D68" s="35">
        <f t="shared" ref="D68:D131" si="4">$H$4</f>
        <v>3.1746031746031746E-4</v>
      </c>
      <c r="E68" s="35">
        <f t="shared" ref="E68:E131" si="5">C68-D68</f>
        <v>-4.9035023110342475E-3</v>
      </c>
    </row>
    <row r="69" spans="1:5" x14ac:dyDescent="0.25">
      <c r="A69" s="33">
        <v>41008</v>
      </c>
      <c r="B69">
        <v>5282.5</v>
      </c>
      <c r="C69" s="34">
        <f t="shared" si="3"/>
        <v>-8.6607302037100542E-3</v>
      </c>
      <c r="D69" s="35">
        <f t="shared" si="4"/>
        <v>3.1746031746031746E-4</v>
      </c>
      <c r="E69" s="35">
        <f t="shared" si="5"/>
        <v>-8.9781905211703712E-3</v>
      </c>
    </row>
    <row r="70" spans="1:5" x14ac:dyDescent="0.25">
      <c r="A70" s="33">
        <v>41009</v>
      </c>
      <c r="B70">
        <v>5254.1</v>
      </c>
      <c r="C70" s="34">
        <f t="shared" si="3"/>
        <v>-5.3762423095125023E-3</v>
      </c>
      <c r="D70" s="35">
        <f t="shared" si="4"/>
        <v>3.1746031746031746E-4</v>
      </c>
      <c r="E70" s="35">
        <f t="shared" si="5"/>
        <v>-5.6937026269728193E-3</v>
      </c>
    </row>
    <row r="71" spans="1:5" x14ac:dyDescent="0.25">
      <c r="A71" s="33">
        <v>41010</v>
      </c>
      <c r="B71">
        <v>5209.45</v>
      </c>
      <c r="C71" s="34">
        <f t="shared" si="3"/>
        <v>-8.4981252735959467E-3</v>
      </c>
      <c r="D71" s="35">
        <f t="shared" si="4"/>
        <v>3.1746031746031746E-4</v>
      </c>
      <c r="E71" s="35">
        <f t="shared" si="5"/>
        <v>-8.8155855910562637E-3</v>
      </c>
    </row>
    <row r="72" spans="1:5" x14ac:dyDescent="0.25">
      <c r="A72" s="33">
        <v>41011</v>
      </c>
      <c r="B72">
        <v>5246.75</v>
      </c>
      <c r="C72" s="34">
        <f t="shared" si="3"/>
        <v>7.160064882089312E-3</v>
      </c>
      <c r="D72" s="35">
        <f t="shared" si="4"/>
        <v>3.1746031746031746E-4</v>
      </c>
      <c r="E72" s="35">
        <f t="shared" si="5"/>
        <v>6.842604564628995E-3</v>
      </c>
    </row>
    <row r="73" spans="1:5" x14ac:dyDescent="0.25">
      <c r="A73" s="33">
        <v>41012</v>
      </c>
      <c r="B73">
        <v>5255.7</v>
      </c>
      <c r="C73" s="34">
        <f t="shared" si="3"/>
        <v>1.7058178872635388E-3</v>
      </c>
      <c r="D73" s="35">
        <f t="shared" si="4"/>
        <v>3.1746031746031746E-4</v>
      </c>
      <c r="E73" s="35">
        <f t="shared" si="5"/>
        <v>1.3883575698032213E-3</v>
      </c>
    </row>
    <row r="74" spans="1:5" x14ac:dyDescent="0.25">
      <c r="A74" s="33">
        <v>41015</v>
      </c>
      <c r="B74">
        <v>5190.6000000000004</v>
      </c>
      <c r="C74" s="34">
        <f t="shared" si="3"/>
        <v>-1.2386551743820862E-2</v>
      </c>
      <c r="D74" s="35">
        <f t="shared" si="4"/>
        <v>3.1746031746031746E-4</v>
      </c>
      <c r="E74" s="35">
        <f t="shared" si="5"/>
        <v>-1.2704012061281179E-2</v>
      </c>
    </row>
    <row r="75" spans="1:5" x14ac:dyDescent="0.25">
      <c r="A75" s="33">
        <v>41016</v>
      </c>
      <c r="B75">
        <v>5266.6</v>
      </c>
      <c r="C75" s="34">
        <f t="shared" si="3"/>
        <v>1.4641852579663217E-2</v>
      </c>
      <c r="D75" s="35">
        <f t="shared" si="4"/>
        <v>3.1746031746031746E-4</v>
      </c>
      <c r="E75" s="35">
        <f t="shared" si="5"/>
        <v>1.43243922622029E-2</v>
      </c>
    </row>
    <row r="76" spans="1:5" x14ac:dyDescent="0.25">
      <c r="A76" s="33">
        <v>41017</v>
      </c>
      <c r="B76">
        <v>5320.7</v>
      </c>
      <c r="C76" s="34">
        <f t="shared" si="3"/>
        <v>1.0272281927619309E-2</v>
      </c>
      <c r="D76" s="35">
        <f t="shared" si="4"/>
        <v>3.1746031746031746E-4</v>
      </c>
      <c r="E76" s="35">
        <f t="shared" si="5"/>
        <v>9.9548216101589919E-3</v>
      </c>
    </row>
    <row r="77" spans="1:5" x14ac:dyDescent="0.25">
      <c r="A77" s="33">
        <v>41018</v>
      </c>
      <c r="B77">
        <v>5320.6</v>
      </c>
      <c r="C77" s="34">
        <f t="shared" si="3"/>
        <v>-1.8794519518028352E-5</v>
      </c>
      <c r="D77" s="35">
        <f t="shared" si="4"/>
        <v>3.1746031746031746E-4</v>
      </c>
      <c r="E77" s="35">
        <f t="shared" si="5"/>
        <v>-3.3625483697834581E-4</v>
      </c>
    </row>
    <row r="78" spans="1:5" x14ac:dyDescent="0.25">
      <c r="A78" s="33">
        <v>41019</v>
      </c>
      <c r="B78">
        <v>5313.95</v>
      </c>
      <c r="C78" s="34">
        <f t="shared" si="3"/>
        <v>-1.2498590384544261E-3</v>
      </c>
      <c r="D78" s="35">
        <f t="shared" si="4"/>
        <v>3.1746031746031746E-4</v>
      </c>
      <c r="E78" s="35">
        <f t="shared" si="5"/>
        <v>-1.5673193559147436E-3</v>
      </c>
    </row>
    <row r="79" spans="1:5" x14ac:dyDescent="0.25">
      <c r="A79" s="33">
        <v>41022</v>
      </c>
      <c r="B79">
        <v>5277.4</v>
      </c>
      <c r="C79" s="34">
        <f t="shared" si="3"/>
        <v>-6.8781226771046367E-3</v>
      </c>
      <c r="D79" s="35">
        <f t="shared" si="4"/>
        <v>3.1746031746031746E-4</v>
      </c>
      <c r="E79" s="35">
        <f t="shared" si="5"/>
        <v>-7.1955829945649537E-3</v>
      </c>
    </row>
    <row r="80" spans="1:5" x14ac:dyDescent="0.25">
      <c r="A80" s="33">
        <v>41023</v>
      </c>
      <c r="B80">
        <v>5215.8999999999996</v>
      </c>
      <c r="C80" s="34">
        <f t="shared" si="3"/>
        <v>-1.1653465721756961E-2</v>
      </c>
      <c r="D80" s="35">
        <f t="shared" si="4"/>
        <v>3.1746031746031746E-4</v>
      </c>
      <c r="E80" s="35">
        <f t="shared" si="5"/>
        <v>-1.1970926039217279E-2</v>
      </c>
    </row>
    <row r="81" spans="1:5" x14ac:dyDescent="0.25">
      <c r="A81" s="33">
        <v>41024</v>
      </c>
      <c r="B81">
        <v>5222.2</v>
      </c>
      <c r="C81" s="34">
        <f t="shared" si="3"/>
        <v>1.207845242431782E-3</v>
      </c>
      <c r="D81" s="35">
        <f t="shared" si="4"/>
        <v>3.1746031746031746E-4</v>
      </c>
      <c r="E81" s="35">
        <f t="shared" si="5"/>
        <v>8.9038492497146458E-4</v>
      </c>
    </row>
    <row r="82" spans="1:5" x14ac:dyDescent="0.25">
      <c r="A82" s="33">
        <v>41025</v>
      </c>
      <c r="B82">
        <v>5214.75</v>
      </c>
      <c r="C82" s="34">
        <f t="shared" si="3"/>
        <v>-1.4266018153268334E-3</v>
      </c>
      <c r="D82" s="35">
        <f t="shared" si="4"/>
        <v>3.1746031746031746E-4</v>
      </c>
      <c r="E82" s="35">
        <f t="shared" si="5"/>
        <v>-1.7440621327871508E-3</v>
      </c>
    </row>
    <row r="83" spans="1:5" x14ac:dyDescent="0.25">
      <c r="A83" s="33">
        <v>41026</v>
      </c>
      <c r="B83">
        <v>5189</v>
      </c>
      <c r="C83" s="34">
        <f t="shared" si="3"/>
        <v>-4.9379164868881276E-3</v>
      </c>
      <c r="D83" s="35">
        <f t="shared" si="4"/>
        <v>3.1746031746031746E-4</v>
      </c>
      <c r="E83" s="35">
        <f t="shared" si="5"/>
        <v>-5.2553768043484446E-3</v>
      </c>
    </row>
    <row r="84" spans="1:5" x14ac:dyDescent="0.25">
      <c r="A84" s="33">
        <v>41027</v>
      </c>
      <c r="B84">
        <v>5209.6000000000004</v>
      </c>
      <c r="C84" s="34">
        <f t="shared" si="3"/>
        <v>3.9699364039313956E-3</v>
      </c>
      <c r="D84" s="35">
        <f t="shared" si="4"/>
        <v>3.1746031746031746E-4</v>
      </c>
      <c r="E84" s="35">
        <f t="shared" si="5"/>
        <v>3.6524760864710781E-3</v>
      </c>
    </row>
    <row r="85" spans="1:5" x14ac:dyDescent="0.25">
      <c r="A85" s="33">
        <v>41029</v>
      </c>
      <c r="B85">
        <v>5201.45</v>
      </c>
      <c r="C85" s="34">
        <f t="shared" si="3"/>
        <v>-1.5644195331696586E-3</v>
      </c>
      <c r="D85" s="35">
        <f t="shared" si="4"/>
        <v>3.1746031746031746E-4</v>
      </c>
      <c r="E85" s="35">
        <f t="shared" si="5"/>
        <v>-1.8818798506299761E-3</v>
      </c>
    </row>
    <row r="86" spans="1:5" x14ac:dyDescent="0.25">
      <c r="A86" s="33">
        <v>41031</v>
      </c>
      <c r="B86">
        <v>5254.3</v>
      </c>
      <c r="C86" s="34">
        <f t="shared" si="3"/>
        <v>1.0160628286343343E-2</v>
      </c>
      <c r="D86" s="35">
        <f t="shared" si="4"/>
        <v>3.1746031746031746E-4</v>
      </c>
      <c r="E86" s="35">
        <f t="shared" si="5"/>
        <v>9.8431679688830258E-3</v>
      </c>
    </row>
    <row r="87" spans="1:5" x14ac:dyDescent="0.25">
      <c r="A87" s="33">
        <v>41032</v>
      </c>
      <c r="B87">
        <v>5211.2</v>
      </c>
      <c r="C87" s="34">
        <f t="shared" si="3"/>
        <v>-8.202805321355866E-3</v>
      </c>
      <c r="D87" s="35">
        <f t="shared" si="4"/>
        <v>3.1746031746031746E-4</v>
      </c>
      <c r="E87" s="35">
        <f t="shared" si="5"/>
        <v>-8.5202656388161831E-3</v>
      </c>
    </row>
    <row r="88" spans="1:5" x14ac:dyDescent="0.25">
      <c r="A88" s="33">
        <v>41033</v>
      </c>
      <c r="B88">
        <v>5166.6499999999996</v>
      </c>
      <c r="C88" s="34">
        <f t="shared" si="3"/>
        <v>-8.5488946883635064E-3</v>
      </c>
      <c r="D88" s="35">
        <f t="shared" si="4"/>
        <v>3.1746031746031746E-4</v>
      </c>
      <c r="E88" s="35">
        <f t="shared" si="5"/>
        <v>-8.8663550058238234E-3</v>
      </c>
    </row>
    <row r="89" spans="1:5" x14ac:dyDescent="0.25">
      <c r="A89" s="33">
        <v>41036</v>
      </c>
      <c r="B89">
        <v>5017.8</v>
      </c>
      <c r="C89" s="34">
        <f t="shared" si="3"/>
        <v>-2.8809770354097819E-2</v>
      </c>
      <c r="D89" s="35">
        <f t="shared" si="4"/>
        <v>3.1746031746031746E-4</v>
      </c>
      <c r="E89" s="35">
        <f t="shared" si="5"/>
        <v>-2.9127230671558136E-2</v>
      </c>
    </row>
    <row r="90" spans="1:5" x14ac:dyDescent="0.25">
      <c r="A90" s="33">
        <v>41037</v>
      </c>
      <c r="B90">
        <v>5114.7</v>
      </c>
      <c r="C90" s="34">
        <f t="shared" si="3"/>
        <v>1.9311251943082475E-2</v>
      </c>
      <c r="D90" s="35">
        <f t="shared" si="4"/>
        <v>3.1746031746031746E-4</v>
      </c>
      <c r="E90" s="35">
        <f t="shared" si="5"/>
        <v>1.8993791625622158E-2</v>
      </c>
    </row>
    <row r="91" spans="1:5" x14ac:dyDescent="0.25">
      <c r="A91" s="33">
        <v>41038</v>
      </c>
      <c r="B91">
        <v>4967.8999999999996</v>
      </c>
      <c r="C91" s="34">
        <f t="shared" si="3"/>
        <v>-2.8701585625745429E-2</v>
      </c>
      <c r="D91" s="35">
        <f t="shared" si="4"/>
        <v>3.1746031746031746E-4</v>
      </c>
      <c r="E91" s="35">
        <f t="shared" si="5"/>
        <v>-2.9019045943205746E-2</v>
      </c>
    </row>
    <row r="92" spans="1:5" x14ac:dyDescent="0.25">
      <c r="A92" s="33">
        <v>41039</v>
      </c>
      <c r="B92">
        <v>4984.1499999999996</v>
      </c>
      <c r="C92" s="34">
        <f t="shared" si="3"/>
        <v>3.2709998188369394E-3</v>
      </c>
      <c r="D92" s="35">
        <f t="shared" si="4"/>
        <v>3.1746031746031746E-4</v>
      </c>
      <c r="E92" s="35">
        <f t="shared" si="5"/>
        <v>2.9535395013766219E-3</v>
      </c>
    </row>
    <row r="93" spans="1:5" x14ac:dyDescent="0.25">
      <c r="A93" s="33">
        <v>41040</v>
      </c>
      <c r="B93">
        <v>4938.8500000000004</v>
      </c>
      <c r="C93" s="34">
        <f t="shared" si="3"/>
        <v>-9.0888115325580277E-3</v>
      </c>
      <c r="D93" s="35">
        <f t="shared" si="4"/>
        <v>3.1746031746031746E-4</v>
      </c>
      <c r="E93" s="35">
        <f t="shared" si="5"/>
        <v>-9.4062718500183447E-3</v>
      </c>
    </row>
    <row r="94" spans="1:5" x14ac:dyDescent="0.25">
      <c r="A94" s="33">
        <v>41043</v>
      </c>
      <c r="B94">
        <v>4934.3500000000004</v>
      </c>
      <c r="C94" s="34">
        <f t="shared" si="3"/>
        <v>-9.1114328234309649E-4</v>
      </c>
      <c r="D94" s="35">
        <f t="shared" si="4"/>
        <v>3.1746031746031746E-4</v>
      </c>
      <c r="E94" s="35">
        <f t="shared" si="5"/>
        <v>-1.228603599803414E-3</v>
      </c>
    </row>
    <row r="95" spans="1:5" x14ac:dyDescent="0.25">
      <c r="A95" s="33">
        <v>41044</v>
      </c>
      <c r="B95">
        <v>4869.8500000000004</v>
      </c>
      <c r="C95" s="34">
        <f t="shared" si="3"/>
        <v>-1.3071630508577625E-2</v>
      </c>
      <c r="D95" s="35">
        <f t="shared" si="4"/>
        <v>3.1746031746031746E-4</v>
      </c>
      <c r="E95" s="35">
        <f t="shared" si="5"/>
        <v>-1.3389090826037942E-2</v>
      </c>
    </row>
    <row r="96" spans="1:5" x14ac:dyDescent="0.25">
      <c r="A96" s="33">
        <v>41045</v>
      </c>
      <c r="B96">
        <v>4875.3</v>
      </c>
      <c r="C96" s="34">
        <f t="shared" si="3"/>
        <v>1.1191309793936455E-3</v>
      </c>
      <c r="D96" s="35">
        <f t="shared" si="4"/>
        <v>3.1746031746031746E-4</v>
      </c>
      <c r="E96" s="35">
        <f t="shared" si="5"/>
        <v>8.0167066193332802E-4</v>
      </c>
    </row>
    <row r="97" spans="1:5" x14ac:dyDescent="0.25">
      <c r="A97" s="33">
        <v>41046</v>
      </c>
      <c r="B97">
        <v>4878.6000000000004</v>
      </c>
      <c r="C97" s="34">
        <f t="shared" si="3"/>
        <v>6.7688142268162999E-4</v>
      </c>
      <c r="D97" s="35">
        <f t="shared" si="4"/>
        <v>3.1746031746031746E-4</v>
      </c>
      <c r="E97" s="35">
        <f t="shared" si="5"/>
        <v>3.5942110522131253E-4</v>
      </c>
    </row>
    <row r="98" spans="1:5" x14ac:dyDescent="0.25">
      <c r="A98" s="33">
        <v>41047</v>
      </c>
      <c r="B98">
        <v>4796.3999999999996</v>
      </c>
      <c r="C98" s="34">
        <f t="shared" si="3"/>
        <v>-1.684909605214624E-2</v>
      </c>
      <c r="D98" s="35">
        <f t="shared" si="4"/>
        <v>3.1746031746031746E-4</v>
      </c>
      <c r="E98" s="35">
        <f t="shared" si="5"/>
        <v>-1.7166556369606557E-2</v>
      </c>
    </row>
    <row r="99" spans="1:5" x14ac:dyDescent="0.25">
      <c r="A99" s="33">
        <v>41050</v>
      </c>
      <c r="B99">
        <v>4888.5</v>
      </c>
      <c r="C99" s="34">
        <f t="shared" si="3"/>
        <v>1.920190142606959E-2</v>
      </c>
      <c r="D99" s="35">
        <f t="shared" si="4"/>
        <v>3.1746031746031746E-4</v>
      </c>
      <c r="E99" s="35">
        <f t="shared" si="5"/>
        <v>1.8884441108609273E-2</v>
      </c>
    </row>
    <row r="100" spans="1:5" x14ac:dyDescent="0.25">
      <c r="A100" s="33">
        <v>41051</v>
      </c>
      <c r="B100">
        <v>4954.7</v>
      </c>
      <c r="C100" s="34">
        <f t="shared" si="3"/>
        <v>1.3541986294364206E-2</v>
      </c>
      <c r="D100" s="35">
        <f t="shared" si="4"/>
        <v>3.1746031746031746E-4</v>
      </c>
      <c r="E100" s="35">
        <f t="shared" si="5"/>
        <v>1.3224525976903889E-2</v>
      </c>
    </row>
    <row r="101" spans="1:5" x14ac:dyDescent="0.25">
      <c r="A101" s="33">
        <v>41052</v>
      </c>
      <c r="B101">
        <v>4843</v>
      </c>
      <c r="C101" s="34">
        <f t="shared" si="3"/>
        <v>-2.2544250913274277E-2</v>
      </c>
      <c r="D101" s="35">
        <f t="shared" si="4"/>
        <v>3.1746031746031746E-4</v>
      </c>
      <c r="E101" s="35">
        <f t="shared" si="5"/>
        <v>-2.2861711230734594E-2</v>
      </c>
    </row>
    <row r="102" spans="1:5" x14ac:dyDescent="0.25">
      <c r="A102" s="33">
        <v>41053</v>
      </c>
      <c r="B102">
        <v>4863.3999999999996</v>
      </c>
      <c r="C102" s="34">
        <f t="shared" si="3"/>
        <v>4.2122651249225651E-3</v>
      </c>
      <c r="D102" s="35">
        <f t="shared" si="4"/>
        <v>3.1746031746031746E-4</v>
      </c>
      <c r="E102" s="35">
        <f t="shared" si="5"/>
        <v>3.8948048074622476E-3</v>
      </c>
    </row>
    <row r="103" spans="1:5" x14ac:dyDescent="0.25">
      <c r="A103" s="33">
        <v>41054</v>
      </c>
      <c r="B103">
        <v>4905.95</v>
      </c>
      <c r="C103" s="34">
        <f t="shared" si="3"/>
        <v>8.7490233170210985E-3</v>
      </c>
      <c r="D103" s="35">
        <f t="shared" si="4"/>
        <v>3.1746031746031746E-4</v>
      </c>
      <c r="E103" s="35">
        <f t="shared" si="5"/>
        <v>8.4315629995607815E-3</v>
      </c>
    </row>
    <row r="104" spans="1:5" x14ac:dyDescent="0.25">
      <c r="A104" s="33">
        <v>41057</v>
      </c>
      <c r="B104">
        <v>4931.7</v>
      </c>
      <c r="C104" s="34">
        <f t="shared" si="3"/>
        <v>5.248728584677842E-3</v>
      </c>
      <c r="D104" s="35">
        <f t="shared" si="4"/>
        <v>3.1746031746031746E-4</v>
      </c>
      <c r="E104" s="35">
        <f t="shared" si="5"/>
        <v>4.931268267217525E-3</v>
      </c>
    </row>
    <row r="105" spans="1:5" x14ac:dyDescent="0.25">
      <c r="A105" s="33">
        <v>41058</v>
      </c>
      <c r="B105">
        <v>5005.3500000000004</v>
      </c>
      <c r="C105" s="34">
        <f t="shared" si="3"/>
        <v>1.4933998418395378E-2</v>
      </c>
      <c r="D105" s="35">
        <f t="shared" si="4"/>
        <v>3.1746031746031746E-4</v>
      </c>
      <c r="E105" s="35">
        <f t="shared" si="5"/>
        <v>1.4616538100935061E-2</v>
      </c>
    </row>
    <row r="106" spans="1:5" x14ac:dyDescent="0.25">
      <c r="A106" s="33">
        <v>41059</v>
      </c>
      <c r="B106">
        <v>4964.25</v>
      </c>
      <c r="C106" s="34">
        <f t="shared" si="3"/>
        <v>-8.2112140010189849E-3</v>
      </c>
      <c r="D106" s="35">
        <f t="shared" si="4"/>
        <v>3.1746031746031746E-4</v>
      </c>
      <c r="E106" s="35">
        <f t="shared" si="5"/>
        <v>-8.5286743184793019E-3</v>
      </c>
    </row>
    <row r="107" spans="1:5" x14ac:dyDescent="0.25">
      <c r="A107" s="33">
        <v>41060</v>
      </c>
      <c r="B107">
        <v>4896.1000000000004</v>
      </c>
      <c r="C107" s="34">
        <f t="shared" si="3"/>
        <v>-1.3728156317671325E-2</v>
      </c>
      <c r="D107" s="35">
        <f t="shared" si="4"/>
        <v>3.1746031746031746E-4</v>
      </c>
      <c r="E107" s="35">
        <f t="shared" si="5"/>
        <v>-1.4045616635131642E-2</v>
      </c>
    </row>
    <row r="108" spans="1:5" x14ac:dyDescent="0.25">
      <c r="A108" s="33">
        <v>41061</v>
      </c>
      <c r="B108">
        <v>4910.8500000000004</v>
      </c>
      <c r="C108" s="34">
        <f t="shared" si="3"/>
        <v>3.0126018667919752E-3</v>
      </c>
      <c r="D108" s="35">
        <f t="shared" si="4"/>
        <v>3.1746031746031746E-4</v>
      </c>
      <c r="E108" s="35">
        <f t="shared" si="5"/>
        <v>2.6951415493316577E-3</v>
      </c>
    </row>
    <row r="109" spans="1:5" x14ac:dyDescent="0.25">
      <c r="A109" s="33">
        <v>41064</v>
      </c>
      <c r="B109">
        <v>4797.3</v>
      </c>
      <c r="C109" s="34">
        <f t="shared" si="3"/>
        <v>-2.3122270075445206E-2</v>
      </c>
      <c r="D109" s="35">
        <f t="shared" si="4"/>
        <v>3.1746031746031746E-4</v>
      </c>
      <c r="E109" s="35">
        <f t="shared" si="5"/>
        <v>-2.3439730392905523E-2</v>
      </c>
    </row>
    <row r="110" spans="1:5" x14ac:dyDescent="0.25">
      <c r="A110" s="33">
        <v>41065</v>
      </c>
      <c r="B110">
        <v>4869.45</v>
      </c>
      <c r="C110" s="34">
        <f t="shared" si="3"/>
        <v>1.5039709836783155E-2</v>
      </c>
      <c r="D110" s="35">
        <f t="shared" si="4"/>
        <v>3.1746031746031746E-4</v>
      </c>
      <c r="E110" s="35">
        <f t="shared" si="5"/>
        <v>1.4722249519322838E-2</v>
      </c>
    </row>
    <row r="111" spans="1:5" x14ac:dyDescent="0.25">
      <c r="A111" s="33">
        <v>41066</v>
      </c>
      <c r="B111">
        <v>4886.6499999999996</v>
      </c>
      <c r="C111" s="34">
        <f t="shared" si="3"/>
        <v>3.5322264321431263E-3</v>
      </c>
      <c r="D111" s="35">
        <f t="shared" si="4"/>
        <v>3.1746031746031746E-4</v>
      </c>
      <c r="E111" s="35">
        <f t="shared" si="5"/>
        <v>3.2147661146828088E-3</v>
      </c>
    </row>
    <row r="112" spans="1:5" x14ac:dyDescent="0.25">
      <c r="A112" s="33">
        <v>41067</v>
      </c>
      <c r="B112">
        <v>5035.3500000000004</v>
      </c>
      <c r="C112" s="34">
        <f t="shared" si="3"/>
        <v>3.0429844576550513E-2</v>
      </c>
      <c r="D112" s="35">
        <f t="shared" si="4"/>
        <v>3.1746031746031746E-4</v>
      </c>
      <c r="E112" s="35">
        <f t="shared" si="5"/>
        <v>3.0112384259090196E-2</v>
      </c>
    </row>
    <row r="113" spans="1:5" x14ac:dyDescent="0.25">
      <c r="A113" s="33">
        <v>41068</v>
      </c>
      <c r="B113">
        <v>5044.25</v>
      </c>
      <c r="C113" s="34">
        <f t="shared" si="3"/>
        <v>1.7675037484981004E-3</v>
      </c>
      <c r="D113" s="35">
        <f t="shared" si="4"/>
        <v>3.1746031746031746E-4</v>
      </c>
      <c r="E113" s="35">
        <f t="shared" si="5"/>
        <v>1.450043431037783E-3</v>
      </c>
    </row>
    <row r="114" spans="1:5" x14ac:dyDescent="0.25">
      <c r="A114" s="33">
        <v>41071</v>
      </c>
      <c r="B114">
        <v>5096.7</v>
      </c>
      <c r="C114" s="34">
        <f t="shared" si="3"/>
        <v>1.03979778956238E-2</v>
      </c>
      <c r="D114" s="35">
        <f t="shared" si="4"/>
        <v>3.1746031746031746E-4</v>
      </c>
      <c r="E114" s="35">
        <f t="shared" si="5"/>
        <v>1.0080517578163483E-2</v>
      </c>
    </row>
    <row r="115" spans="1:5" x14ac:dyDescent="0.25">
      <c r="A115" s="33">
        <v>41072</v>
      </c>
      <c r="B115">
        <v>5015.5</v>
      </c>
      <c r="C115" s="34">
        <f t="shared" si="3"/>
        <v>-1.5931877489355872E-2</v>
      </c>
      <c r="D115" s="35">
        <f t="shared" si="4"/>
        <v>3.1746031746031746E-4</v>
      </c>
      <c r="E115" s="35">
        <f t="shared" si="5"/>
        <v>-1.6249337806816189E-2</v>
      </c>
    </row>
    <row r="116" spans="1:5" x14ac:dyDescent="0.25">
      <c r="A116" s="33">
        <v>41073</v>
      </c>
      <c r="B116">
        <v>5117.55</v>
      </c>
      <c r="C116" s="34">
        <f t="shared" si="3"/>
        <v>2.034692453394471E-2</v>
      </c>
      <c r="D116" s="35">
        <f t="shared" si="4"/>
        <v>3.1746031746031746E-4</v>
      </c>
      <c r="E116" s="35">
        <f t="shared" si="5"/>
        <v>2.0029464216484393E-2</v>
      </c>
    </row>
    <row r="117" spans="1:5" x14ac:dyDescent="0.25">
      <c r="A117" s="33">
        <v>41074</v>
      </c>
      <c r="B117">
        <v>5105.1000000000004</v>
      </c>
      <c r="C117" s="34">
        <f t="shared" si="3"/>
        <v>-2.4328047600902236E-3</v>
      </c>
      <c r="D117" s="35">
        <f t="shared" si="4"/>
        <v>3.1746031746031746E-4</v>
      </c>
      <c r="E117" s="35">
        <f t="shared" si="5"/>
        <v>-2.7502650775505411E-3</v>
      </c>
    </row>
    <row r="118" spans="1:5" x14ac:dyDescent="0.25">
      <c r="A118" s="33">
        <v>41075</v>
      </c>
      <c r="B118">
        <v>5069.55</v>
      </c>
      <c r="C118" s="34">
        <f t="shared" si="3"/>
        <v>-6.9636246106834498E-3</v>
      </c>
      <c r="D118" s="35">
        <f t="shared" si="4"/>
        <v>3.1746031746031746E-4</v>
      </c>
      <c r="E118" s="35">
        <f t="shared" si="5"/>
        <v>-7.2810849281437669E-3</v>
      </c>
    </row>
    <row r="119" spans="1:5" x14ac:dyDescent="0.25">
      <c r="A119" s="33">
        <v>41078</v>
      </c>
      <c r="B119">
        <v>5174</v>
      </c>
      <c r="C119" s="34">
        <f t="shared" si="3"/>
        <v>2.0603406613999287E-2</v>
      </c>
      <c r="D119" s="35">
        <f t="shared" si="4"/>
        <v>3.1746031746031746E-4</v>
      </c>
      <c r="E119" s="35">
        <f t="shared" si="5"/>
        <v>2.028594629653897E-2</v>
      </c>
    </row>
    <row r="120" spans="1:5" x14ac:dyDescent="0.25">
      <c r="A120" s="33">
        <v>41079</v>
      </c>
      <c r="B120">
        <v>5050.8</v>
      </c>
      <c r="C120" s="34">
        <f t="shared" si="3"/>
        <v>-2.3811364514882083E-2</v>
      </c>
      <c r="D120" s="35">
        <f t="shared" si="4"/>
        <v>3.1746031746031746E-4</v>
      </c>
      <c r="E120" s="35">
        <f t="shared" si="5"/>
        <v>-2.41288248323424E-2</v>
      </c>
    </row>
    <row r="121" spans="1:5" x14ac:dyDescent="0.25">
      <c r="A121" s="33">
        <v>41080</v>
      </c>
      <c r="B121">
        <v>5114.55</v>
      </c>
      <c r="C121" s="34">
        <f t="shared" si="3"/>
        <v>1.2621762889047261E-2</v>
      </c>
      <c r="D121" s="35">
        <f t="shared" si="4"/>
        <v>3.1746031746031746E-4</v>
      </c>
      <c r="E121" s="35">
        <f t="shared" si="5"/>
        <v>1.2304302571586944E-2</v>
      </c>
    </row>
    <row r="122" spans="1:5" x14ac:dyDescent="0.25">
      <c r="A122" s="33">
        <v>41081</v>
      </c>
      <c r="B122">
        <v>5097.3500000000004</v>
      </c>
      <c r="C122" s="34">
        <f t="shared" si="3"/>
        <v>-3.3629547076478028E-3</v>
      </c>
      <c r="D122" s="35">
        <f t="shared" si="4"/>
        <v>3.1746031746031746E-4</v>
      </c>
      <c r="E122" s="35">
        <f t="shared" si="5"/>
        <v>-3.6804150251081203E-3</v>
      </c>
    </row>
    <row r="123" spans="1:5" x14ac:dyDescent="0.25">
      <c r="A123" s="33">
        <v>41082</v>
      </c>
      <c r="B123">
        <v>5101.75</v>
      </c>
      <c r="C123" s="34">
        <f t="shared" si="3"/>
        <v>8.6319362021436419E-4</v>
      </c>
      <c r="D123" s="35">
        <f t="shared" si="4"/>
        <v>3.1746031746031746E-4</v>
      </c>
      <c r="E123" s="35">
        <f t="shared" si="5"/>
        <v>5.4573330275404673E-4</v>
      </c>
    </row>
    <row r="124" spans="1:5" x14ac:dyDescent="0.25">
      <c r="A124" s="33">
        <v>41085</v>
      </c>
      <c r="B124">
        <v>5158.5</v>
      </c>
      <c r="C124" s="34">
        <f t="shared" si="3"/>
        <v>1.1123634047140785E-2</v>
      </c>
      <c r="D124" s="35">
        <f t="shared" si="4"/>
        <v>3.1746031746031746E-4</v>
      </c>
      <c r="E124" s="35">
        <f t="shared" si="5"/>
        <v>1.0806173729680468E-2</v>
      </c>
    </row>
    <row r="125" spans="1:5" x14ac:dyDescent="0.25">
      <c r="A125" s="33">
        <v>41086</v>
      </c>
      <c r="B125">
        <v>5107.45</v>
      </c>
      <c r="C125" s="34">
        <f t="shared" si="3"/>
        <v>-9.8962876805273048E-3</v>
      </c>
      <c r="D125" s="35">
        <f t="shared" si="4"/>
        <v>3.1746031746031746E-4</v>
      </c>
      <c r="E125" s="35">
        <f t="shared" si="5"/>
        <v>-1.0213747997987622E-2</v>
      </c>
    </row>
    <row r="126" spans="1:5" x14ac:dyDescent="0.25">
      <c r="A126" s="33">
        <v>41087</v>
      </c>
      <c r="B126">
        <v>5149.45</v>
      </c>
      <c r="C126" s="34">
        <f t="shared" si="3"/>
        <v>8.2232816767662253E-3</v>
      </c>
      <c r="D126" s="35">
        <f t="shared" si="4"/>
        <v>3.1746031746031746E-4</v>
      </c>
      <c r="E126" s="35">
        <f t="shared" si="5"/>
        <v>7.9058213593059083E-3</v>
      </c>
    </row>
    <row r="127" spans="1:5" x14ac:dyDescent="0.25">
      <c r="A127" s="33">
        <v>41088</v>
      </c>
      <c r="B127">
        <v>5148.95</v>
      </c>
      <c r="C127" s="34">
        <f t="shared" si="3"/>
        <v>-9.7097748303243137E-5</v>
      </c>
      <c r="D127" s="35">
        <f t="shared" si="4"/>
        <v>3.1746031746031746E-4</v>
      </c>
      <c r="E127" s="35">
        <f t="shared" si="5"/>
        <v>-4.145580657635606E-4</v>
      </c>
    </row>
    <row r="128" spans="1:5" x14ac:dyDescent="0.25">
      <c r="A128" s="33">
        <v>41089</v>
      </c>
      <c r="B128">
        <v>5191.25</v>
      </c>
      <c r="C128" s="34">
        <f t="shared" si="3"/>
        <v>8.2152671903981123E-3</v>
      </c>
      <c r="D128" s="35">
        <f t="shared" si="4"/>
        <v>3.1746031746031746E-4</v>
      </c>
      <c r="E128" s="35">
        <f t="shared" si="5"/>
        <v>7.8978068729377952E-3</v>
      </c>
    </row>
    <row r="129" spans="1:5" x14ac:dyDescent="0.25">
      <c r="A129" s="33">
        <v>41092</v>
      </c>
      <c r="B129">
        <v>5283.85</v>
      </c>
      <c r="C129" s="34">
        <f t="shared" si="3"/>
        <v>1.7837707681194415E-2</v>
      </c>
      <c r="D129" s="35">
        <f t="shared" si="4"/>
        <v>3.1746031746031746E-4</v>
      </c>
      <c r="E129" s="35">
        <f t="shared" si="5"/>
        <v>1.7520247363734098E-2</v>
      </c>
    </row>
    <row r="130" spans="1:5" x14ac:dyDescent="0.25">
      <c r="A130" s="33">
        <v>41093</v>
      </c>
      <c r="B130">
        <v>5298.85</v>
      </c>
      <c r="C130" s="34">
        <f t="shared" si="3"/>
        <v>2.8388391040623517E-3</v>
      </c>
      <c r="D130" s="35">
        <f t="shared" si="4"/>
        <v>3.1746031746031746E-4</v>
      </c>
      <c r="E130" s="35">
        <f t="shared" si="5"/>
        <v>2.5213787866020343E-3</v>
      </c>
    </row>
    <row r="131" spans="1:5" x14ac:dyDescent="0.25">
      <c r="A131" s="33">
        <v>41094</v>
      </c>
      <c r="B131">
        <v>5310.4</v>
      </c>
      <c r="C131" s="34">
        <f t="shared" si="3"/>
        <v>2.1797182407501392E-3</v>
      </c>
      <c r="D131" s="35">
        <f t="shared" si="4"/>
        <v>3.1746031746031746E-4</v>
      </c>
      <c r="E131" s="35">
        <f t="shared" si="5"/>
        <v>1.8622579232898217E-3</v>
      </c>
    </row>
    <row r="132" spans="1:5" x14ac:dyDescent="0.25">
      <c r="A132" s="33">
        <v>41095</v>
      </c>
      <c r="B132">
        <v>5297.05</v>
      </c>
      <c r="C132" s="34">
        <f t="shared" ref="C132:C195" si="6">B132/B131 - 1</f>
        <v>-2.513934920156613E-3</v>
      </c>
      <c r="D132" s="35">
        <f t="shared" ref="D132:D195" si="7">$H$4</f>
        <v>3.1746031746031746E-4</v>
      </c>
      <c r="E132" s="35">
        <f t="shared" ref="E132:E195" si="8">C132-D132</f>
        <v>-2.8313952376169305E-3</v>
      </c>
    </row>
    <row r="133" spans="1:5" x14ac:dyDescent="0.25">
      <c r="A133" s="33">
        <v>41096</v>
      </c>
      <c r="B133">
        <v>5324.7</v>
      </c>
      <c r="C133" s="34">
        <f t="shared" si="6"/>
        <v>5.2198865406216655E-3</v>
      </c>
      <c r="D133" s="35">
        <f t="shared" si="7"/>
        <v>3.1746031746031746E-4</v>
      </c>
      <c r="E133" s="35">
        <f t="shared" si="8"/>
        <v>4.9024262231613484E-3</v>
      </c>
    </row>
    <row r="134" spans="1:5" x14ac:dyDescent="0.25">
      <c r="A134" s="33">
        <v>41099</v>
      </c>
      <c r="B134">
        <v>5283.7</v>
      </c>
      <c r="C134" s="34">
        <f t="shared" si="6"/>
        <v>-7.6999643172385168E-3</v>
      </c>
      <c r="D134" s="35">
        <f t="shared" si="7"/>
        <v>3.1746031746031746E-4</v>
      </c>
      <c r="E134" s="35">
        <f t="shared" si="8"/>
        <v>-8.0174246346988338E-3</v>
      </c>
    </row>
    <row r="135" spans="1:5" x14ac:dyDescent="0.25">
      <c r="A135" s="33">
        <v>41100</v>
      </c>
      <c r="B135">
        <v>5286.6</v>
      </c>
      <c r="C135" s="34">
        <f t="shared" si="6"/>
        <v>5.4885780797553352E-4</v>
      </c>
      <c r="D135" s="35">
        <f t="shared" si="7"/>
        <v>3.1746031746031746E-4</v>
      </c>
      <c r="E135" s="35">
        <f t="shared" si="8"/>
        <v>2.3139749051521606E-4</v>
      </c>
    </row>
    <row r="136" spans="1:5" x14ac:dyDescent="0.25">
      <c r="A136" s="33">
        <v>41101</v>
      </c>
      <c r="B136">
        <v>5315.25</v>
      </c>
      <c r="C136" s="34">
        <f t="shared" si="6"/>
        <v>5.4193621609350817E-3</v>
      </c>
      <c r="D136" s="35">
        <f t="shared" si="7"/>
        <v>3.1746031746031746E-4</v>
      </c>
      <c r="E136" s="35">
        <f t="shared" si="8"/>
        <v>5.1019018434747647E-3</v>
      </c>
    </row>
    <row r="137" spans="1:5" x14ac:dyDescent="0.25">
      <c r="A137" s="33">
        <v>41102</v>
      </c>
      <c r="B137">
        <v>5240</v>
      </c>
      <c r="C137" s="34">
        <f t="shared" si="6"/>
        <v>-1.415737735760314E-2</v>
      </c>
      <c r="D137" s="35">
        <f t="shared" si="7"/>
        <v>3.1746031746031746E-4</v>
      </c>
      <c r="E137" s="35">
        <f t="shared" si="8"/>
        <v>-1.4474837675063457E-2</v>
      </c>
    </row>
    <row r="138" spans="1:5" x14ac:dyDescent="0.25">
      <c r="A138" s="33">
        <v>41103</v>
      </c>
      <c r="B138">
        <v>5242.75</v>
      </c>
      <c r="C138" s="34">
        <f t="shared" si="6"/>
        <v>5.2480916030539504E-4</v>
      </c>
      <c r="D138" s="35">
        <f t="shared" si="7"/>
        <v>3.1746031746031746E-4</v>
      </c>
      <c r="E138" s="35">
        <f t="shared" si="8"/>
        <v>2.0734884284507758E-4</v>
      </c>
    </row>
    <row r="139" spans="1:5" x14ac:dyDescent="0.25">
      <c r="A139" s="33">
        <v>41106</v>
      </c>
      <c r="B139">
        <v>5232.3500000000004</v>
      </c>
      <c r="C139" s="34">
        <f t="shared" si="6"/>
        <v>-1.9836917648180519E-3</v>
      </c>
      <c r="D139" s="35">
        <f t="shared" si="7"/>
        <v>3.1746031746031746E-4</v>
      </c>
      <c r="E139" s="35">
        <f t="shared" si="8"/>
        <v>-2.3011520822783693E-3</v>
      </c>
    </row>
    <row r="140" spans="1:5" x14ac:dyDescent="0.25">
      <c r="A140" s="33">
        <v>41107</v>
      </c>
      <c r="B140">
        <v>5228.05</v>
      </c>
      <c r="C140" s="34">
        <f t="shared" si="6"/>
        <v>-8.2181046757201504E-4</v>
      </c>
      <c r="D140" s="35">
        <f t="shared" si="7"/>
        <v>3.1746031746031746E-4</v>
      </c>
      <c r="E140" s="35">
        <f t="shared" si="8"/>
        <v>-1.1392707850323325E-3</v>
      </c>
    </row>
    <row r="141" spans="1:5" x14ac:dyDescent="0.25">
      <c r="A141" s="33">
        <v>41108</v>
      </c>
      <c r="B141">
        <v>5199.1000000000004</v>
      </c>
      <c r="C141" s="34">
        <f t="shared" si="6"/>
        <v>-5.5374374766882228E-3</v>
      </c>
      <c r="D141" s="35">
        <f t="shared" si="7"/>
        <v>3.1746031746031746E-4</v>
      </c>
      <c r="E141" s="35">
        <f t="shared" si="8"/>
        <v>-5.8548977941485399E-3</v>
      </c>
    </row>
    <row r="142" spans="1:5" x14ac:dyDescent="0.25">
      <c r="A142" s="33">
        <v>41109</v>
      </c>
      <c r="B142">
        <v>5249.85</v>
      </c>
      <c r="C142" s="34">
        <f t="shared" si="6"/>
        <v>9.7613048412226178E-3</v>
      </c>
      <c r="D142" s="35">
        <f t="shared" si="7"/>
        <v>3.1746031746031746E-4</v>
      </c>
      <c r="E142" s="35">
        <f t="shared" si="8"/>
        <v>9.4438445237623007E-3</v>
      </c>
    </row>
    <row r="143" spans="1:5" x14ac:dyDescent="0.25">
      <c r="A143" s="33">
        <v>41110</v>
      </c>
      <c r="B143">
        <v>5233.55</v>
      </c>
      <c r="C143" s="34">
        <f t="shared" si="6"/>
        <v>-3.1048506147794974E-3</v>
      </c>
      <c r="D143" s="35">
        <f t="shared" si="7"/>
        <v>3.1746031746031746E-4</v>
      </c>
      <c r="E143" s="35">
        <f t="shared" si="8"/>
        <v>-3.4223109322398149E-3</v>
      </c>
    </row>
    <row r="144" spans="1:5" x14ac:dyDescent="0.25">
      <c r="A144" s="33">
        <v>41113</v>
      </c>
      <c r="B144">
        <v>5163.25</v>
      </c>
      <c r="C144" s="34">
        <f t="shared" si="6"/>
        <v>-1.3432564893810173E-2</v>
      </c>
      <c r="D144" s="35">
        <f t="shared" si="7"/>
        <v>3.1746031746031746E-4</v>
      </c>
      <c r="E144" s="35">
        <f t="shared" si="8"/>
        <v>-1.375002521127049E-2</v>
      </c>
    </row>
    <row r="145" spans="1:5" x14ac:dyDescent="0.25">
      <c r="A145" s="33">
        <v>41114</v>
      </c>
      <c r="B145">
        <v>5128.8</v>
      </c>
      <c r="C145" s="34">
        <f t="shared" si="6"/>
        <v>-6.6721541664649386E-3</v>
      </c>
      <c r="D145" s="35">
        <f t="shared" si="7"/>
        <v>3.1746031746031746E-4</v>
      </c>
      <c r="E145" s="35">
        <f t="shared" si="8"/>
        <v>-6.9896144839252557E-3</v>
      </c>
    </row>
    <row r="146" spans="1:5" x14ac:dyDescent="0.25">
      <c r="A146" s="33">
        <v>41115</v>
      </c>
      <c r="B146">
        <v>5118.3999999999996</v>
      </c>
      <c r="C146" s="34">
        <f t="shared" si="6"/>
        <v>-2.027764779285679E-3</v>
      </c>
      <c r="D146" s="35">
        <f t="shared" si="7"/>
        <v>3.1746031746031746E-4</v>
      </c>
      <c r="E146" s="35">
        <f t="shared" si="8"/>
        <v>-2.3452250967459965E-3</v>
      </c>
    </row>
    <row r="147" spans="1:5" x14ac:dyDescent="0.25">
      <c r="A147" s="33">
        <v>41116</v>
      </c>
      <c r="B147">
        <v>5126.3</v>
      </c>
      <c r="C147" s="34">
        <f t="shared" si="6"/>
        <v>1.5434510784622102E-3</v>
      </c>
      <c r="D147" s="35">
        <f t="shared" si="7"/>
        <v>3.1746031746031746E-4</v>
      </c>
      <c r="E147" s="35">
        <f t="shared" si="8"/>
        <v>1.2259907610018927E-3</v>
      </c>
    </row>
    <row r="148" spans="1:5" x14ac:dyDescent="0.25">
      <c r="A148" s="33">
        <v>41117</v>
      </c>
      <c r="B148">
        <v>5124.3</v>
      </c>
      <c r="C148" s="34">
        <f t="shared" si="6"/>
        <v>-3.9014493884481638E-4</v>
      </c>
      <c r="D148" s="35">
        <f t="shared" si="7"/>
        <v>3.1746031746031746E-4</v>
      </c>
      <c r="E148" s="35">
        <f t="shared" si="8"/>
        <v>-7.0760525630513384E-4</v>
      </c>
    </row>
    <row r="149" spans="1:5" x14ac:dyDescent="0.25">
      <c r="A149" s="33">
        <v>41120</v>
      </c>
      <c r="B149">
        <v>5129.75</v>
      </c>
      <c r="C149" s="34">
        <f t="shared" si="6"/>
        <v>1.0635599008643748E-3</v>
      </c>
      <c r="D149" s="35">
        <f t="shared" si="7"/>
        <v>3.1746031746031746E-4</v>
      </c>
      <c r="E149" s="35">
        <f t="shared" si="8"/>
        <v>7.4609958340405734E-4</v>
      </c>
    </row>
    <row r="150" spans="1:5" x14ac:dyDescent="0.25">
      <c r="A150" s="33">
        <v>41121</v>
      </c>
      <c r="B150">
        <v>5214.8500000000004</v>
      </c>
      <c r="C150" s="34">
        <f t="shared" si="6"/>
        <v>1.6589502412398316E-2</v>
      </c>
      <c r="D150" s="35">
        <f t="shared" si="7"/>
        <v>3.1746031746031746E-4</v>
      </c>
      <c r="E150" s="35">
        <f t="shared" si="8"/>
        <v>1.6272042094937999E-2</v>
      </c>
    </row>
    <row r="151" spans="1:5" x14ac:dyDescent="0.25">
      <c r="A151" s="33">
        <v>41122</v>
      </c>
      <c r="B151">
        <v>5220.7</v>
      </c>
      <c r="C151" s="34">
        <f t="shared" si="6"/>
        <v>1.121796408333875E-3</v>
      </c>
      <c r="D151" s="35">
        <f t="shared" si="7"/>
        <v>3.1746031746031746E-4</v>
      </c>
      <c r="E151" s="35">
        <f t="shared" si="8"/>
        <v>8.0433609087355749E-4</v>
      </c>
    </row>
    <row r="152" spans="1:5" x14ac:dyDescent="0.25">
      <c r="A152" s="33">
        <v>41123</v>
      </c>
      <c r="B152">
        <v>5233.1000000000004</v>
      </c>
      <c r="C152" s="34">
        <f t="shared" si="6"/>
        <v>2.3751604191009079E-3</v>
      </c>
      <c r="D152" s="35">
        <f t="shared" si="7"/>
        <v>3.1746031746031746E-4</v>
      </c>
      <c r="E152" s="35">
        <f t="shared" si="8"/>
        <v>2.0577001016405905E-3</v>
      </c>
    </row>
    <row r="153" spans="1:5" x14ac:dyDescent="0.25">
      <c r="A153" s="33">
        <v>41124</v>
      </c>
      <c r="B153">
        <v>5195.6000000000004</v>
      </c>
      <c r="C153" s="34">
        <f t="shared" si="6"/>
        <v>-7.1659245953641371E-3</v>
      </c>
      <c r="D153" s="35">
        <f t="shared" si="7"/>
        <v>3.1746031746031746E-4</v>
      </c>
      <c r="E153" s="35">
        <f t="shared" si="8"/>
        <v>-7.4833849128244541E-3</v>
      </c>
    </row>
    <row r="154" spans="1:5" x14ac:dyDescent="0.25">
      <c r="A154" s="33">
        <v>41127</v>
      </c>
      <c r="B154">
        <v>5260.85</v>
      </c>
      <c r="C154" s="34">
        <f t="shared" si="6"/>
        <v>1.2558703518361636E-2</v>
      </c>
      <c r="D154" s="35">
        <f t="shared" si="7"/>
        <v>3.1746031746031746E-4</v>
      </c>
      <c r="E154" s="35">
        <f t="shared" si="8"/>
        <v>1.2241243200901319E-2</v>
      </c>
    </row>
    <row r="155" spans="1:5" x14ac:dyDescent="0.25">
      <c r="A155" s="33">
        <v>41128</v>
      </c>
      <c r="B155">
        <v>5295.4</v>
      </c>
      <c r="C155" s="34">
        <f t="shared" si="6"/>
        <v>6.5673797960403846E-3</v>
      </c>
      <c r="D155" s="35">
        <f t="shared" si="7"/>
        <v>3.1746031746031746E-4</v>
      </c>
      <c r="E155" s="35">
        <f t="shared" si="8"/>
        <v>6.2499194785800676E-3</v>
      </c>
    </row>
    <row r="156" spans="1:5" x14ac:dyDescent="0.25">
      <c r="A156" s="33">
        <v>41129</v>
      </c>
      <c r="B156">
        <v>5345.25</v>
      </c>
      <c r="C156" s="34">
        <f t="shared" si="6"/>
        <v>9.4138308720776998E-3</v>
      </c>
      <c r="D156" s="35">
        <f t="shared" si="7"/>
        <v>3.1746031746031746E-4</v>
      </c>
      <c r="E156" s="35">
        <f t="shared" si="8"/>
        <v>9.0963705546173827E-3</v>
      </c>
    </row>
    <row r="157" spans="1:5" x14ac:dyDescent="0.25">
      <c r="A157" s="33">
        <v>41130</v>
      </c>
      <c r="B157">
        <v>5348.3</v>
      </c>
      <c r="C157" s="34">
        <f t="shared" si="6"/>
        <v>5.7060006547882125E-4</v>
      </c>
      <c r="D157" s="35">
        <f t="shared" si="7"/>
        <v>3.1746031746031746E-4</v>
      </c>
      <c r="E157" s="35">
        <f t="shared" si="8"/>
        <v>2.5313974801850379E-4</v>
      </c>
    </row>
    <row r="158" spans="1:5" x14ac:dyDescent="0.25">
      <c r="A158" s="33">
        <v>41131</v>
      </c>
      <c r="B158">
        <v>5308.2</v>
      </c>
      <c r="C158" s="34">
        <f t="shared" si="6"/>
        <v>-7.4977095525681214E-3</v>
      </c>
      <c r="D158" s="35">
        <f t="shared" si="7"/>
        <v>3.1746031746031746E-4</v>
      </c>
      <c r="E158" s="35">
        <f t="shared" si="8"/>
        <v>-7.8151698700284385E-3</v>
      </c>
    </row>
    <row r="159" spans="1:5" x14ac:dyDescent="0.25">
      <c r="A159" s="33">
        <v>41134</v>
      </c>
      <c r="B159">
        <v>5316.35</v>
      </c>
      <c r="C159" s="34">
        <f t="shared" si="6"/>
        <v>1.5353603858183629E-3</v>
      </c>
      <c r="D159" s="35">
        <f t="shared" si="7"/>
        <v>3.1746031746031746E-4</v>
      </c>
      <c r="E159" s="35">
        <f t="shared" si="8"/>
        <v>1.2179000683580454E-3</v>
      </c>
    </row>
    <row r="160" spans="1:5" x14ac:dyDescent="0.25">
      <c r="A160" s="33">
        <v>41135</v>
      </c>
      <c r="B160">
        <v>5343.25</v>
      </c>
      <c r="C160" s="34">
        <f t="shared" si="6"/>
        <v>5.059862499647183E-3</v>
      </c>
      <c r="D160" s="35">
        <f t="shared" si="7"/>
        <v>3.1746031746031746E-4</v>
      </c>
      <c r="E160" s="35">
        <f t="shared" si="8"/>
        <v>4.742402182186866E-3</v>
      </c>
    </row>
    <row r="161" spans="1:5" x14ac:dyDescent="0.25">
      <c r="A161" s="33">
        <v>41137</v>
      </c>
      <c r="B161">
        <v>5385.95</v>
      </c>
      <c r="C161" s="34">
        <f t="shared" si="6"/>
        <v>7.991391007345694E-3</v>
      </c>
      <c r="D161" s="35">
        <f t="shared" si="7"/>
        <v>3.1746031746031746E-4</v>
      </c>
      <c r="E161" s="35">
        <f t="shared" si="8"/>
        <v>7.6739306898853769E-3</v>
      </c>
    </row>
    <row r="162" spans="1:5" x14ac:dyDescent="0.25">
      <c r="A162" s="33">
        <v>41138</v>
      </c>
      <c r="B162">
        <v>5368.6</v>
      </c>
      <c r="C162" s="34">
        <f t="shared" si="6"/>
        <v>-3.2213444239176381E-3</v>
      </c>
      <c r="D162" s="35">
        <f t="shared" si="7"/>
        <v>3.1746031746031746E-4</v>
      </c>
      <c r="E162" s="35">
        <f t="shared" si="8"/>
        <v>-3.5388047413779555E-3</v>
      </c>
    </row>
    <row r="163" spans="1:5" x14ac:dyDescent="0.25">
      <c r="A163" s="33">
        <v>41142</v>
      </c>
      <c r="B163">
        <v>5368.7</v>
      </c>
      <c r="C163" s="34">
        <f t="shared" si="6"/>
        <v>1.8626830085910484E-5</v>
      </c>
      <c r="D163" s="35">
        <f t="shared" si="7"/>
        <v>3.1746031746031746E-4</v>
      </c>
      <c r="E163" s="35">
        <f t="shared" si="8"/>
        <v>-2.9883348737440698E-4</v>
      </c>
    </row>
    <row r="164" spans="1:5" x14ac:dyDescent="0.25">
      <c r="A164" s="33">
        <v>41143</v>
      </c>
      <c r="B164">
        <v>5395.75</v>
      </c>
      <c r="C164" s="34">
        <f t="shared" si="6"/>
        <v>5.0384636876712463E-3</v>
      </c>
      <c r="D164" s="35">
        <f t="shared" si="7"/>
        <v>3.1746031746031746E-4</v>
      </c>
      <c r="E164" s="35">
        <f t="shared" si="8"/>
        <v>4.7210033702109293E-3</v>
      </c>
    </row>
    <row r="165" spans="1:5" x14ac:dyDescent="0.25">
      <c r="A165" s="33">
        <v>41144</v>
      </c>
      <c r="B165">
        <v>5426.15</v>
      </c>
      <c r="C165" s="34">
        <f t="shared" si="6"/>
        <v>5.6340638465457449E-3</v>
      </c>
      <c r="D165" s="35">
        <f t="shared" si="7"/>
        <v>3.1746031746031746E-4</v>
      </c>
      <c r="E165" s="35">
        <f t="shared" si="8"/>
        <v>5.3166035290854279E-3</v>
      </c>
    </row>
    <row r="166" spans="1:5" x14ac:dyDescent="0.25">
      <c r="A166" s="33">
        <v>41145</v>
      </c>
      <c r="B166">
        <v>5392.6</v>
      </c>
      <c r="C166" s="34">
        <f t="shared" si="6"/>
        <v>-6.1830211107321009E-3</v>
      </c>
      <c r="D166" s="35">
        <f t="shared" si="7"/>
        <v>3.1746031746031746E-4</v>
      </c>
      <c r="E166" s="35">
        <f t="shared" si="8"/>
        <v>-6.5004814281924179E-3</v>
      </c>
    </row>
    <row r="167" spans="1:5" x14ac:dyDescent="0.25">
      <c r="A167" s="33">
        <v>41148</v>
      </c>
      <c r="B167">
        <v>5387.85</v>
      </c>
      <c r="C167" s="34">
        <f t="shared" si="6"/>
        <v>-8.8083670214733623E-4</v>
      </c>
      <c r="D167" s="35">
        <f t="shared" si="7"/>
        <v>3.1746031746031746E-4</v>
      </c>
      <c r="E167" s="35">
        <f t="shared" si="8"/>
        <v>-1.1982970196076537E-3</v>
      </c>
    </row>
    <row r="168" spans="1:5" x14ac:dyDescent="0.25">
      <c r="A168" s="33">
        <v>41149</v>
      </c>
      <c r="B168">
        <v>5348.05</v>
      </c>
      <c r="C168" s="34">
        <f t="shared" si="6"/>
        <v>-7.3869911003461297E-3</v>
      </c>
      <c r="D168" s="35">
        <f t="shared" si="7"/>
        <v>3.1746031746031746E-4</v>
      </c>
      <c r="E168" s="35">
        <f t="shared" si="8"/>
        <v>-7.7044514178064467E-3</v>
      </c>
    </row>
    <row r="169" spans="1:5" x14ac:dyDescent="0.25">
      <c r="A169" s="33">
        <v>41150</v>
      </c>
      <c r="B169">
        <v>5343.85</v>
      </c>
      <c r="C169" s="34">
        <f t="shared" si="6"/>
        <v>-7.8533297183080997E-4</v>
      </c>
      <c r="D169" s="35">
        <f t="shared" si="7"/>
        <v>3.1746031746031746E-4</v>
      </c>
      <c r="E169" s="35">
        <f t="shared" si="8"/>
        <v>-1.1027932892911274E-3</v>
      </c>
    </row>
    <row r="170" spans="1:5" x14ac:dyDescent="0.25">
      <c r="A170" s="33">
        <v>41151</v>
      </c>
      <c r="B170">
        <v>5268.6</v>
      </c>
      <c r="C170" s="34">
        <f t="shared" si="6"/>
        <v>-1.4081607829561138E-2</v>
      </c>
      <c r="D170" s="35">
        <f t="shared" si="7"/>
        <v>3.1746031746031746E-4</v>
      </c>
      <c r="E170" s="35">
        <f t="shared" si="8"/>
        <v>-1.4399068147021455E-2</v>
      </c>
    </row>
    <row r="171" spans="1:5" x14ac:dyDescent="0.25">
      <c r="A171" s="33">
        <v>41152</v>
      </c>
      <c r="B171">
        <v>5298.2</v>
      </c>
      <c r="C171" s="34">
        <f t="shared" si="6"/>
        <v>5.6181907907222328E-3</v>
      </c>
      <c r="D171" s="35">
        <f t="shared" si="7"/>
        <v>3.1746031746031746E-4</v>
      </c>
      <c r="E171" s="35">
        <f t="shared" si="8"/>
        <v>5.3007304732619158E-3</v>
      </c>
    </row>
    <row r="172" spans="1:5" x14ac:dyDescent="0.25">
      <c r="A172" s="33">
        <v>41155</v>
      </c>
      <c r="B172">
        <v>5276.5</v>
      </c>
      <c r="C172" s="34">
        <f t="shared" si="6"/>
        <v>-4.0957306254953973E-3</v>
      </c>
      <c r="D172" s="35">
        <f t="shared" si="7"/>
        <v>3.1746031746031746E-4</v>
      </c>
      <c r="E172" s="35">
        <f t="shared" si="8"/>
        <v>-4.4131909429557144E-3</v>
      </c>
    </row>
    <row r="173" spans="1:5" x14ac:dyDescent="0.25">
      <c r="A173" s="33">
        <v>41156</v>
      </c>
      <c r="B173">
        <v>5249.15</v>
      </c>
      <c r="C173" s="34">
        <f t="shared" si="6"/>
        <v>-5.1833601819388786E-3</v>
      </c>
      <c r="D173" s="35">
        <f t="shared" si="7"/>
        <v>3.1746031746031746E-4</v>
      </c>
      <c r="E173" s="35">
        <f t="shared" si="8"/>
        <v>-5.5008204993991956E-3</v>
      </c>
    </row>
    <row r="174" spans="1:5" x14ac:dyDescent="0.25">
      <c r="A174" s="33">
        <v>41157</v>
      </c>
      <c r="B174">
        <v>5243.9</v>
      </c>
      <c r="C174" s="34">
        <f t="shared" si="6"/>
        <v>-1.0001619309792931E-3</v>
      </c>
      <c r="D174" s="35">
        <f t="shared" si="7"/>
        <v>3.1746031746031746E-4</v>
      </c>
      <c r="E174" s="35">
        <f t="shared" si="8"/>
        <v>-1.3176222484396105E-3</v>
      </c>
    </row>
    <row r="175" spans="1:5" x14ac:dyDescent="0.25">
      <c r="A175" s="33">
        <v>41158</v>
      </c>
      <c r="B175">
        <v>5217.6499999999996</v>
      </c>
      <c r="C175" s="34">
        <f t="shared" si="6"/>
        <v>-5.0058162817749885E-3</v>
      </c>
      <c r="D175" s="35">
        <f t="shared" si="7"/>
        <v>3.1746031746031746E-4</v>
      </c>
      <c r="E175" s="35">
        <f t="shared" si="8"/>
        <v>-5.3232765992353055E-3</v>
      </c>
    </row>
    <row r="176" spans="1:5" x14ac:dyDescent="0.25">
      <c r="A176" s="33">
        <v>41159</v>
      </c>
      <c r="B176">
        <v>5309.45</v>
      </c>
      <c r="C176" s="34">
        <f t="shared" si="6"/>
        <v>1.7594127624505296E-2</v>
      </c>
      <c r="D176" s="35">
        <f t="shared" si="7"/>
        <v>3.1746031746031746E-4</v>
      </c>
      <c r="E176" s="35">
        <f t="shared" si="8"/>
        <v>1.7276667307044979E-2</v>
      </c>
    </row>
    <row r="177" spans="1:5" x14ac:dyDescent="0.25">
      <c r="A177" s="33">
        <v>41160</v>
      </c>
      <c r="B177">
        <v>5343.65</v>
      </c>
      <c r="C177" s="34">
        <f t="shared" si="6"/>
        <v>6.4413451487441709E-3</v>
      </c>
      <c r="D177" s="35">
        <f t="shared" si="7"/>
        <v>3.1746031746031746E-4</v>
      </c>
      <c r="E177" s="35">
        <f t="shared" si="8"/>
        <v>6.1238848312838538E-3</v>
      </c>
    </row>
    <row r="178" spans="1:5" x14ac:dyDescent="0.25">
      <c r="A178" s="33">
        <v>41162</v>
      </c>
      <c r="B178">
        <v>5361.9</v>
      </c>
      <c r="C178" s="34">
        <f t="shared" si="6"/>
        <v>3.4152685898216628E-3</v>
      </c>
      <c r="D178" s="35">
        <f t="shared" si="7"/>
        <v>3.1746031746031746E-4</v>
      </c>
      <c r="E178" s="35">
        <f t="shared" si="8"/>
        <v>3.0978082723613454E-3</v>
      </c>
    </row>
    <row r="179" spans="1:5" x14ac:dyDescent="0.25">
      <c r="A179" s="33">
        <v>41163</v>
      </c>
      <c r="B179">
        <v>5336.1</v>
      </c>
      <c r="C179" s="34">
        <f t="shared" si="6"/>
        <v>-4.811727186258441E-3</v>
      </c>
      <c r="D179" s="35">
        <f t="shared" si="7"/>
        <v>3.1746031746031746E-4</v>
      </c>
      <c r="E179" s="35">
        <f t="shared" si="8"/>
        <v>-5.129187503718758E-3</v>
      </c>
    </row>
    <row r="180" spans="1:5" x14ac:dyDescent="0.25">
      <c r="A180" s="33">
        <v>41164</v>
      </c>
      <c r="B180">
        <v>5404.45</v>
      </c>
      <c r="C180" s="34">
        <f t="shared" si="6"/>
        <v>1.2808980341447729E-2</v>
      </c>
      <c r="D180" s="35">
        <f t="shared" si="7"/>
        <v>3.1746031746031746E-4</v>
      </c>
      <c r="E180" s="35">
        <f t="shared" si="8"/>
        <v>1.2491520023987412E-2</v>
      </c>
    </row>
    <row r="181" spans="1:5" x14ac:dyDescent="0.25">
      <c r="A181" s="33">
        <v>41165</v>
      </c>
      <c r="B181">
        <v>5435.2</v>
      </c>
      <c r="C181" s="34">
        <f t="shared" si="6"/>
        <v>5.6897556643136227E-3</v>
      </c>
      <c r="D181" s="35">
        <f t="shared" si="7"/>
        <v>3.1746031746031746E-4</v>
      </c>
      <c r="E181" s="35">
        <f t="shared" si="8"/>
        <v>5.3722953468533056E-3</v>
      </c>
    </row>
    <row r="182" spans="1:5" x14ac:dyDescent="0.25">
      <c r="A182" s="33">
        <v>41166</v>
      </c>
      <c r="B182">
        <v>5528.35</v>
      </c>
      <c r="C182" s="34">
        <f t="shared" si="6"/>
        <v>1.7138283779805752E-2</v>
      </c>
      <c r="D182" s="35">
        <f t="shared" si="7"/>
        <v>3.1746031746031746E-4</v>
      </c>
      <c r="E182" s="35">
        <f t="shared" si="8"/>
        <v>1.6820823462345435E-2</v>
      </c>
    </row>
    <row r="183" spans="1:5" x14ac:dyDescent="0.25">
      <c r="A183" s="33">
        <v>41169</v>
      </c>
      <c r="B183">
        <v>5631.75</v>
      </c>
      <c r="C183" s="34">
        <f t="shared" si="6"/>
        <v>1.8703591487514215E-2</v>
      </c>
      <c r="D183" s="35">
        <f t="shared" si="7"/>
        <v>3.1746031746031746E-4</v>
      </c>
      <c r="E183" s="35">
        <f t="shared" si="8"/>
        <v>1.8386131170053898E-2</v>
      </c>
    </row>
    <row r="184" spans="1:5" x14ac:dyDescent="0.25">
      <c r="A184" s="33">
        <v>41170</v>
      </c>
      <c r="B184">
        <v>5602.4</v>
      </c>
      <c r="C184" s="34">
        <f t="shared" si="6"/>
        <v>-5.2115239490390097E-3</v>
      </c>
      <c r="D184" s="35">
        <f t="shared" si="7"/>
        <v>3.1746031746031746E-4</v>
      </c>
      <c r="E184" s="35">
        <f t="shared" si="8"/>
        <v>-5.5289842664993268E-3</v>
      </c>
    </row>
    <row r="185" spans="1:5" x14ac:dyDescent="0.25">
      <c r="A185" s="33">
        <v>41172</v>
      </c>
      <c r="B185">
        <v>5536.95</v>
      </c>
      <c r="C185" s="34">
        <f t="shared" si="6"/>
        <v>-1.1682493217192613E-2</v>
      </c>
      <c r="D185" s="35">
        <f t="shared" si="7"/>
        <v>3.1746031746031746E-4</v>
      </c>
      <c r="E185" s="35">
        <f t="shared" si="8"/>
        <v>-1.199995353465293E-2</v>
      </c>
    </row>
    <row r="186" spans="1:5" x14ac:dyDescent="0.25">
      <c r="A186" s="33">
        <v>41173</v>
      </c>
      <c r="B186">
        <v>5577</v>
      </c>
      <c r="C186" s="34">
        <f t="shared" si="6"/>
        <v>7.2332240674017889E-3</v>
      </c>
      <c r="D186" s="35">
        <f t="shared" si="7"/>
        <v>3.1746031746031746E-4</v>
      </c>
      <c r="E186" s="35">
        <f t="shared" si="8"/>
        <v>6.9157637499414719E-3</v>
      </c>
    </row>
    <row r="187" spans="1:5" x14ac:dyDescent="0.25">
      <c r="A187" s="33">
        <v>41176</v>
      </c>
      <c r="B187">
        <v>5691.95</v>
      </c>
      <c r="C187" s="34">
        <f t="shared" si="6"/>
        <v>2.0611439842209034E-2</v>
      </c>
      <c r="D187" s="35">
        <f t="shared" si="7"/>
        <v>3.1746031746031746E-4</v>
      </c>
      <c r="E187" s="35">
        <f t="shared" si="8"/>
        <v>2.0293979524748717E-2</v>
      </c>
    </row>
    <row r="188" spans="1:5" x14ac:dyDescent="0.25">
      <c r="A188" s="33">
        <v>41177</v>
      </c>
      <c r="B188">
        <v>5674.9</v>
      </c>
      <c r="C188" s="34">
        <f t="shared" si="6"/>
        <v>-2.9954584984056565E-3</v>
      </c>
      <c r="D188" s="35">
        <f t="shared" si="7"/>
        <v>3.1746031746031746E-4</v>
      </c>
      <c r="E188" s="35">
        <f t="shared" si="8"/>
        <v>-3.3129188158659739E-3</v>
      </c>
    </row>
    <row r="189" spans="1:5" x14ac:dyDescent="0.25">
      <c r="A189" s="33">
        <v>41178</v>
      </c>
      <c r="B189">
        <v>5653.4</v>
      </c>
      <c r="C189" s="34">
        <f t="shared" si="6"/>
        <v>-3.7886130152072761E-3</v>
      </c>
      <c r="D189" s="35">
        <f t="shared" si="7"/>
        <v>3.1746031746031746E-4</v>
      </c>
      <c r="E189" s="35">
        <f t="shared" si="8"/>
        <v>-4.1060733326675931E-3</v>
      </c>
    </row>
    <row r="190" spans="1:5" x14ac:dyDescent="0.25">
      <c r="A190" s="33">
        <v>41179</v>
      </c>
      <c r="B190">
        <v>5673.75</v>
      </c>
      <c r="C190" s="34">
        <f t="shared" si="6"/>
        <v>3.5996037782572987E-3</v>
      </c>
      <c r="D190" s="35">
        <f t="shared" si="7"/>
        <v>3.1746031746031746E-4</v>
      </c>
      <c r="E190" s="35">
        <f t="shared" si="8"/>
        <v>3.2821434607969813E-3</v>
      </c>
    </row>
    <row r="191" spans="1:5" x14ac:dyDescent="0.25">
      <c r="A191" s="33">
        <v>41180</v>
      </c>
      <c r="B191">
        <v>5684.8</v>
      </c>
      <c r="C191" s="34">
        <f t="shared" si="6"/>
        <v>1.9475655430711836E-3</v>
      </c>
      <c r="D191" s="35">
        <f t="shared" si="7"/>
        <v>3.1746031746031746E-4</v>
      </c>
      <c r="E191" s="35">
        <f t="shared" si="8"/>
        <v>1.6301052256108661E-3</v>
      </c>
    </row>
    <row r="192" spans="1:5" x14ac:dyDescent="0.25">
      <c r="A192" s="33">
        <v>41183</v>
      </c>
      <c r="B192">
        <v>5704.75</v>
      </c>
      <c r="C192" s="34">
        <f t="shared" si="6"/>
        <v>3.5093582887699704E-3</v>
      </c>
      <c r="D192" s="35">
        <f t="shared" si="7"/>
        <v>3.1746031746031746E-4</v>
      </c>
      <c r="E192" s="35">
        <f t="shared" si="8"/>
        <v>3.1918979713096529E-3</v>
      </c>
    </row>
    <row r="193" spans="1:5" x14ac:dyDescent="0.25">
      <c r="A193" s="33">
        <v>41185</v>
      </c>
      <c r="B193">
        <v>5727.7</v>
      </c>
      <c r="C193" s="34">
        <f t="shared" si="6"/>
        <v>4.0229633200403736E-3</v>
      </c>
      <c r="D193" s="35">
        <f t="shared" si="7"/>
        <v>3.1746031746031746E-4</v>
      </c>
      <c r="E193" s="35">
        <f t="shared" si="8"/>
        <v>3.7055030025800561E-3</v>
      </c>
    </row>
    <row r="194" spans="1:5" x14ac:dyDescent="0.25">
      <c r="A194" s="33">
        <v>41186</v>
      </c>
      <c r="B194">
        <v>5751.55</v>
      </c>
      <c r="C194" s="34">
        <f t="shared" si="6"/>
        <v>4.1639750685267263E-3</v>
      </c>
      <c r="D194" s="35">
        <f t="shared" si="7"/>
        <v>3.1746031746031746E-4</v>
      </c>
      <c r="E194" s="35">
        <f t="shared" si="8"/>
        <v>3.8465147510664088E-3</v>
      </c>
    </row>
    <row r="195" spans="1:5" x14ac:dyDescent="0.25">
      <c r="A195" s="33">
        <v>41187</v>
      </c>
      <c r="B195">
        <v>5815</v>
      </c>
      <c r="C195" s="34">
        <f t="shared" si="6"/>
        <v>1.1031808816753808E-2</v>
      </c>
      <c r="D195" s="35">
        <f t="shared" si="7"/>
        <v>3.1746031746031746E-4</v>
      </c>
      <c r="E195" s="35">
        <f t="shared" si="8"/>
        <v>1.0714348499293491E-2</v>
      </c>
    </row>
    <row r="196" spans="1:5" x14ac:dyDescent="0.25">
      <c r="A196" s="33">
        <v>41190</v>
      </c>
      <c r="B196">
        <v>5751.85</v>
      </c>
      <c r="C196" s="34">
        <f t="shared" ref="C196:C253" si="9">B196/B195 - 1</f>
        <v>-1.0859845227858878E-2</v>
      </c>
      <c r="D196" s="35">
        <f t="shared" ref="D196:D253" si="10">$H$4</f>
        <v>3.1746031746031746E-4</v>
      </c>
      <c r="E196" s="35">
        <f t="shared" ref="E196:E253" si="11">C196-D196</f>
        <v>-1.1177305545319195E-2</v>
      </c>
    </row>
    <row r="197" spans="1:5" x14ac:dyDescent="0.25">
      <c r="A197" s="33">
        <v>41191</v>
      </c>
      <c r="B197">
        <v>5708.15</v>
      </c>
      <c r="C197" s="34">
        <f t="shared" si="9"/>
        <v>-7.5975555690779295E-3</v>
      </c>
      <c r="D197" s="35">
        <f t="shared" si="10"/>
        <v>3.1746031746031746E-4</v>
      </c>
      <c r="E197" s="35">
        <f t="shared" si="11"/>
        <v>-7.9150158865382465E-3</v>
      </c>
    </row>
    <row r="198" spans="1:5" x14ac:dyDescent="0.25">
      <c r="A198" s="33">
        <v>41192</v>
      </c>
      <c r="B198">
        <v>5671.15</v>
      </c>
      <c r="C198" s="34">
        <f t="shared" si="9"/>
        <v>-6.4819600045549208E-3</v>
      </c>
      <c r="D198" s="35">
        <f t="shared" si="10"/>
        <v>3.1746031746031746E-4</v>
      </c>
      <c r="E198" s="35">
        <f t="shared" si="11"/>
        <v>-6.7994203220152379E-3</v>
      </c>
    </row>
    <row r="199" spans="1:5" x14ac:dyDescent="0.25">
      <c r="A199" s="33">
        <v>41193</v>
      </c>
      <c r="B199">
        <v>5663.5</v>
      </c>
      <c r="C199" s="34">
        <f t="shared" si="9"/>
        <v>-1.3489327561428954E-3</v>
      </c>
      <c r="D199" s="35">
        <f t="shared" si="10"/>
        <v>3.1746031746031746E-4</v>
      </c>
      <c r="E199" s="35">
        <f t="shared" si="11"/>
        <v>-1.6663930736032129E-3</v>
      </c>
    </row>
    <row r="200" spans="1:5" x14ac:dyDescent="0.25">
      <c r="A200" s="33">
        <v>41194</v>
      </c>
      <c r="B200">
        <v>5681.7</v>
      </c>
      <c r="C200" s="34">
        <f t="shared" si="9"/>
        <v>3.2135605191137007E-3</v>
      </c>
      <c r="D200" s="35">
        <f t="shared" si="10"/>
        <v>3.1746031746031746E-4</v>
      </c>
      <c r="E200" s="35">
        <f t="shared" si="11"/>
        <v>2.8961002016533832E-3</v>
      </c>
    </row>
    <row r="201" spans="1:5" x14ac:dyDescent="0.25">
      <c r="A201" s="33">
        <v>41197</v>
      </c>
      <c r="B201">
        <v>5674.25</v>
      </c>
      <c r="C201" s="34">
        <f t="shared" si="9"/>
        <v>-1.3112272735272823E-3</v>
      </c>
      <c r="D201" s="35">
        <f t="shared" si="10"/>
        <v>3.1746031746031746E-4</v>
      </c>
      <c r="E201" s="35">
        <f t="shared" si="11"/>
        <v>-1.6286875909875998E-3</v>
      </c>
    </row>
    <row r="202" spans="1:5" x14ac:dyDescent="0.25">
      <c r="A202" s="33">
        <v>41198</v>
      </c>
      <c r="B202">
        <v>5705.6</v>
      </c>
      <c r="C202" s="34">
        <f t="shared" si="9"/>
        <v>5.5249592457153884E-3</v>
      </c>
      <c r="D202" s="35">
        <f t="shared" si="10"/>
        <v>3.1746031746031746E-4</v>
      </c>
      <c r="E202" s="35">
        <f t="shared" si="11"/>
        <v>5.2074989282550714E-3</v>
      </c>
    </row>
    <row r="203" spans="1:5" x14ac:dyDescent="0.25">
      <c r="A203" s="33">
        <v>41199</v>
      </c>
      <c r="B203">
        <v>5681.1</v>
      </c>
      <c r="C203" s="34">
        <f t="shared" si="9"/>
        <v>-4.2940269209198467E-3</v>
      </c>
      <c r="D203" s="35">
        <f t="shared" si="10"/>
        <v>3.1746031746031746E-4</v>
      </c>
      <c r="E203" s="35">
        <f t="shared" si="11"/>
        <v>-4.6114872383801638E-3</v>
      </c>
    </row>
    <row r="204" spans="1:5" x14ac:dyDescent="0.25">
      <c r="A204" s="33">
        <v>41200</v>
      </c>
      <c r="B204">
        <v>5675.3</v>
      </c>
      <c r="C204" s="34">
        <f t="shared" si="9"/>
        <v>-1.0209290454313846E-3</v>
      </c>
      <c r="D204" s="35">
        <f t="shared" si="10"/>
        <v>3.1746031746031746E-4</v>
      </c>
      <c r="E204" s="35">
        <f t="shared" si="11"/>
        <v>-1.3383893628917021E-3</v>
      </c>
    </row>
    <row r="205" spans="1:5" x14ac:dyDescent="0.25">
      <c r="A205" s="33">
        <v>41201</v>
      </c>
      <c r="B205">
        <v>5703.3</v>
      </c>
      <c r="C205" s="34">
        <f t="shared" si="9"/>
        <v>4.9336598946310151E-3</v>
      </c>
      <c r="D205" s="35">
        <f t="shared" si="10"/>
        <v>3.1746031746031746E-4</v>
      </c>
      <c r="E205" s="35">
        <f t="shared" si="11"/>
        <v>4.616199577170698E-3</v>
      </c>
    </row>
    <row r="206" spans="1:5" x14ac:dyDescent="0.25">
      <c r="A206" s="33">
        <v>41204</v>
      </c>
      <c r="B206">
        <v>5667.6</v>
      </c>
      <c r="C206" s="34">
        <f t="shared" si="9"/>
        <v>-6.2595339540265638E-3</v>
      </c>
      <c r="D206" s="35">
        <f t="shared" si="10"/>
        <v>3.1746031746031746E-4</v>
      </c>
      <c r="E206" s="35">
        <f t="shared" si="11"/>
        <v>-6.5769942714868808E-3</v>
      </c>
    </row>
    <row r="207" spans="1:5" x14ac:dyDescent="0.25">
      <c r="A207" s="33">
        <v>41205</v>
      </c>
      <c r="B207">
        <v>5715.65</v>
      </c>
      <c r="C207" s="34">
        <f t="shared" si="9"/>
        <v>8.4780153857011431E-3</v>
      </c>
      <c r="D207" s="35">
        <f t="shared" si="10"/>
        <v>3.1746031746031746E-4</v>
      </c>
      <c r="E207" s="35">
        <f t="shared" si="11"/>
        <v>8.1605550682408261E-3</v>
      </c>
    </row>
    <row r="208" spans="1:5" x14ac:dyDescent="0.25">
      <c r="A208" s="33">
        <v>41207</v>
      </c>
      <c r="B208">
        <v>5688.8</v>
      </c>
      <c r="C208" s="34">
        <f t="shared" si="9"/>
        <v>-4.6976284412095781E-3</v>
      </c>
      <c r="D208" s="35">
        <f t="shared" si="10"/>
        <v>3.1746031746031746E-4</v>
      </c>
      <c r="E208" s="35">
        <f t="shared" si="11"/>
        <v>-5.0150887586698951E-3</v>
      </c>
    </row>
    <row r="209" spans="1:5" x14ac:dyDescent="0.25">
      <c r="A209" s="33">
        <v>41208</v>
      </c>
      <c r="B209">
        <v>5683.55</v>
      </c>
      <c r="C209" s="34">
        <f t="shared" si="9"/>
        <v>-9.2286598228097372E-4</v>
      </c>
      <c r="D209" s="35">
        <f t="shared" si="10"/>
        <v>3.1746031746031746E-4</v>
      </c>
      <c r="E209" s="35">
        <f t="shared" si="11"/>
        <v>-1.2403262997412912E-3</v>
      </c>
    </row>
    <row r="210" spans="1:5" x14ac:dyDescent="0.25">
      <c r="A210" s="33">
        <v>41211</v>
      </c>
      <c r="B210">
        <v>5665.2</v>
      </c>
      <c r="C210" s="34">
        <f t="shared" si="9"/>
        <v>-3.2286159178682716E-3</v>
      </c>
      <c r="D210" s="35">
        <f t="shared" si="10"/>
        <v>3.1746031746031746E-4</v>
      </c>
      <c r="E210" s="35">
        <f t="shared" si="11"/>
        <v>-3.5460762353285891E-3</v>
      </c>
    </row>
    <row r="211" spans="1:5" x14ac:dyDescent="0.25">
      <c r="A211" s="33">
        <v>41212</v>
      </c>
      <c r="B211">
        <v>5656.35</v>
      </c>
      <c r="C211" s="34">
        <f t="shared" si="9"/>
        <v>-1.5621690319846948E-3</v>
      </c>
      <c r="D211" s="35">
        <f t="shared" si="10"/>
        <v>3.1746031746031746E-4</v>
      </c>
      <c r="E211" s="35">
        <f t="shared" si="11"/>
        <v>-1.8796293494450123E-3</v>
      </c>
    </row>
    <row r="212" spans="1:5" x14ac:dyDescent="0.25">
      <c r="A212" s="33">
        <v>41213</v>
      </c>
      <c r="B212">
        <v>5596.75</v>
      </c>
      <c r="C212" s="34">
        <f t="shared" si="9"/>
        <v>-1.0536830288083388E-2</v>
      </c>
      <c r="D212" s="35">
        <f t="shared" si="10"/>
        <v>3.1746031746031746E-4</v>
      </c>
      <c r="E212" s="35">
        <f t="shared" si="11"/>
        <v>-1.0854290605543705E-2</v>
      </c>
    </row>
    <row r="213" spans="1:5" x14ac:dyDescent="0.25">
      <c r="A213" s="33">
        <v>41214</v>
      </c>
      <c r="B213">
        <v>5609.85</v>
      </c>
      <c r="C213" s="34">
        <f t="shared" si="9"/>
        <v>2.3406441238218445E-3</v>
      </c>
      <c r="D213" s="35">
        <f t="shared" si="10"/>
        <v>3.1746031746031746E-4</v>
      </c>
      <c r="E213" s="35">
        <f t="shared" si="11"/>
        <v>2.023183806361527E-3</v>
      </c>
    </row>
    <row r="214" spans="1:5" x14ac:dyDescent="0.25">
      <c r="A214" s="33">
        <v>41215</v>
      </c>
      <c r="B214">
        <v>5696.35</v>
      </c>
      <c r="C214" s="34">
        <f t="shared" si="9"/>
        <v>1.5419307111598446E-2</v>
      </c>
      <c r="D214" s="35">
        <f t="shared" si="10"/>
        <v>3.1746031746031746E-4</v>
      </c>
      <c r="E214" s="35">
        <f t="shared" si="11"/>
        <v>1.5101846794138129E-2</v>
      </c>
    </row>
    <row r="215" spans="1:5" x14ac:dyDescent="0.25">
      <c r="A215" s="33">
        <v>41218</v>
      </c>
      <c r="B215">
        <v>5693.05</v>
      </c>
      <c r="C215" s="34">
        <f t="shared" si="9"/>
        <v>-5.793183354253495E-4</v>
      </c>
      <c r="D215" s="35">
        <f t="shared" si="10"/>
        <v>3.1746031746031746E-4</v>
      </c>
      <c r="E215" s="35">
        <f t="shared" si="11"/>
        <v>-8.9677865288566696E-4</v>
      </c>
    </row>
    <row r="216" spans="1:5" x14ac:dyDescent="0.25">
      <c r="A216" s="33">
        <v>41219</v>
      </c>
      <c r="B216">
        <v>5694.1</v>
      </c>
      <c r="C216" s="34">
        <f t="shared" si="9"/>
        <v>1.844354080853261E-4</v>
      </c>
      <c r="D216" s="35">
        <f t="shared" si="10"/>
        <v>3.1746031746031746E-4</v>
      </c>
      <c r="E216" s="35">
        <f t="shared" si="11"/>
        <v>-1.3302490937499136E-4</v>
      </c>
    </row>
    <row r="217" spans="1:5" x14ac:dyDescent="0.25">
      <c r="A217" s="33">
        <v>41220</v>
      </c>
      <c r="B217">
        <v>5718.6</v>
      </c>
      <c r="C217" s="34">
        <f t="shared" si="9"/>
        <v>4.3026992852250867E-3</v>
      </c>
      <c r="D217" s="35">
        <f t="shared" si="10"/>
        <v>3.1746031746031746E-4</v>
      </c>
      <c r="E217" s="35">
        <f t="shared" si="11"/>
        <v>3.9852389677647697E-3</v>
      </c>
    </row>
    <row r="218" spans="1:5" x14ac:dyDescent="0.25">
      <c r="A218" s="33">
        <v>41221</v>
      </c>
      <c r="B218">
        <v>5709</v>
      </c>
      <c r="C218" s="34">
        <f t="shared" si="9"/>
        <v>-1.6787325569196376E-3</v>
      </c>
      <c r="D218" s="35">
        <f t="shared" si="10"/>
        <v>3.1746031746031746E-4</v>
      </c>
      <c r="E218" s="35">
        <f t="shared" si="11"/>
        <v>-1.9961928743799551E-3</v>
      </c>
    </row>
    <row r="219" spans="1:5" x14ac:dyDescent="0.25">
      <c r="A219" s="33">
        <v>41222</v>
      </c>
      <c r="B219">
        <v>5731.1</v>
      </c>
      <c r="C219" s="34">
        <f t="shared" si="9"/>
        <v>3.8710807496935562E-3</v>
      </c>
      <c r="D219" s="35">
        <f t="shared" si="10"/>
        <v>3.1746031746031746E-4</v>
      </c>
      <c r="E219" s="35">
        <f t="shared" si="11"/>
        <v>3.5536204322332387E-3</v>
      </c>
    </row>
    <row r="220" spans="1:5" x14ac:dyDescent="0.25">
      <c r="A220" s="33">
        <v>41225</v>
      </c>
      <c r="B220">
        <v>5688.45</v>
      </c>
      <c r="C220" s="34">
        <f t="shared" si="9"/>
        <v>-7.4418523494618194E-3</v>
      </c>
      <c r="D220" s="35">
        <f t="shared" si="10"/>
        <v>3.1746031746031746E-4</v>
      </c>
      <c r="E220" s="35">
        <f t="shared" si="11"/>
        <v>-7.7593126669221364E-3</v>
      </c>
    </row>
    <row r="221" spans="1:5" x14ac:dyDescent="0.25">
      <c r="A221" s="33">
        <v>41226</v>
      </c>
      <c r="B221">
        <v>5689.7</v>
      </c>
      <c r="C221" s="34">
        <f t="shared" si="9"/>
        <v>2.1974351536879766E-4</v>
      </c>
      <c r="D221" s="35">
        <f t="shared" si="10"/>
        <v>3.1746031746031746E-4</v>
      </c>
      <c r="E221" s="35">
        <f t="shared" si="11"/>
        <v>-9.7716802091519801E-5</v>
      </c>
    </row>
    <row r="222" spans="1:5" x14ac:dyDescent="0.25">
      <c r="A222" s="33">
        <v>41228</v>
      </c>
      <c r="B222">
        <v>5650.35</v>
      </c>
      <c r="C222" s="34">
        <f t="shared" si="9"/>
        <v>-6.9160061163153763E-3</v>
      </c>
      <c r="D222" s="35">
        <f t="shared" si="10"/>
        <v>3.1746031746031746E-4</v>
      </c>
      <c r="E222" s="35">
        <f t="shared" si="11"/>
        <v>-7.2334664337756933E-3</v>
      </c>
    </row>
    <row r="223" spans="1:5" x14ac:dyDescent="0.25">
      <c r="A223" s="33">
        <v>41229</v>
      </c>
      <c r="B223">
        <v>5624.8</v>
      </c>
      <c r="C223" s="34">
        <f t="shared" si="9"/>
        <v>-4.5218437795888633E-3</v>
      </c>
      <c r="D223" s="35">
        <f t="shared" si="10"/>
        <v>3.1746031746031746E-4</v>
      </c>
      <c r="E223" s="35">
        <f t="shared" si="11"/>
        <v>-4.8393040970491803E-3</v>
      </c>
    </row>
    <row r="224" spans="1:5" x14ac:dyDescent="0.25">
      <c r="A224" s="33">
        <v>41232</v>
      </c>
      <c r="B224">
        <v>5577.3</v>
      </c>
      <c r="C224" s="34">
        <f t="shared" si="9"/>
        <v>-8.444744702033824E-3</v>
      </c>
      <c r="D224" s="35">
        <f t="shared" si="10"/>
        <v>3.1746031746031746E-4</v>
      </c>
      <c r="E224" s="35">
        <f t="shared" si="11"/>
        <v>-8.762205019494141E-3</v>
      </c>
    </row>
    <row r="225" spans="1:5" x14ac:dyDescent="0.25">
      <c r="A225" s="33">
        <v>41233</v>
      </c>
      <c r="B225">
        <v>5604.8</v>
      </c>
      <c r="C225" s="34">
        <f t="shared" si="9"/>
        <v>4.930701235364765E-3</v>
      </c>
      <c r="D225" s="35">
        <f t="shared" si="10"/>
        <v>3.1746031746031746E-4</v>
      </c>
      <c r="E225" s="35">
        <f t="shared" si="11"/>
        <v>4.613240917904448E-3</v>
      </c>
    </row>
    <row r="226" spans="1:5" x14ac:dyDescent="0.25">
      <c r="A226" s="33">
        <v>41234</v>
      </c>
      <c r="B226">
        <v>5582.5</v>
      </c>
      <c r="C226" s="34">
        <f t="shared" si="9"/>
        <v>-3.9787325149871489E-3</v>
      </c>
      <c r="D226" s="35">
        <f t="shared" si="10"/>
        <v>3.1746031746031746E-4</v>
      </c>
      <c r="E226" s="35">
        <f t="shared" si="11"/>
        <v>-4.2961928324474659E-3</v>
      </c>
    </row>
    <row r="227" spans="1:5" x14ac:dyDescent="0.25">
      <c r="A227" s="33">
        <v>41235</v>
      </c>
      <c r="B227">
        <v>5628.6</v>
      </c>
      <c r="C227" s="34">
        <f t="shared" si="9"/>
        <v>8.2579489476042323E-3</v>
      </c>
      <c r="D227" s="35">
        <f t="shared" si="10"/>
        <v>3.1746031746031746E-4</v>
      </c>
      <c r="E227" s="35">
        <f t="shared" si="11"/>
        <v>7.9404886301439152E-3</v>
      </c>
    </row>
    <row r="228" spans="1:5" x14ac:dyDescent="0.25">
      <c r="A228" s="33">
        <v>41236</v>
      </c>
      <c r="B228">
        <v>5635.45</v>
      </c>
      <c r="C228" s="34">
        <f t="shared" si="9"/>
        <v>1.2169988984827018E-3</v>
      </c>
      <c r="D228" s="35">
        <f t="shared" si="10"/>
        <v>3.1746031746031746E-4</v>
      </c>
      <c r="E228" s="35">
        <f t="shared" si="11"/>
        <v>8.9953858102238436E-4</v>
      </c>
    </row>
    <row r="229" spans="1:5" x14ac:dyDescent="0.25">
      <c r="A229" s="33">
        <v>41239</v>
      </c>
      <c r="B229">
        <v>5648.65</v>
      </c>
      <c r="C229" s="34">
        <f t="shared" si="9"/>
        <v>2.3423151656034591E-3</v>
      </c>
      <c r="D229" s="35">
        <f t="shared" si="10"/>
        <v>3.1746031746031746E-4</v>
      </c>
      <c r="E229" s="35">
        <f t="shared" si="11"/>
        <v>2.0248548481431416E-3</v>
      </c>
    </row>
    <row r="230" spans="1:5" x14ac:dyDescent="0.25">
      <c r="A230" s="33">
        <v>41240</v>
      </c>
      <c r="B230">
        <v>5658.5</v>
      </c>
      <c r="C230" s="34">
        <f t="shared" si="9"/>
        <v>1.7437794871342227E-3</v>
      </c>
      <c r="D230" s="35">
        <f t="shared" si="10"/>
        <v>3.1746031746031746E-4</v>
      </c>
      <c r="E230" s="35">
        <f t="shared" si="11"/>
        <v>1.4263191696739052E-3</v>
      </c>
    </row>
    <row r="231" spans="1:5" x14ac:dyDescent="0.25">
      <c r="A231" s="33">
        <v>41242</v>
      </c>
      <c r="B231">
        <v>5736.7</v>
      </c>
      <c r="C231" s="34">
        <f t="shared" si="9"/>
        <v>1.3819916939118215E-2</v>
      </c>
      <c r="D231" s="35">
        <f t="shared" si="10"/>
        <v>3.1746031746031746E-4</v>
      </c>
      <c r="E231" s="35">
        <f t="shared" si="11"/>
        <v>1.3502456621657898E-2</v>
      </c>
    </row>
    <row r="232" spans="1:5" x14ac:dyDescent="0.25">
      <c r="A232" s="33">
        <v>41243</v>
      </c>
      <c r="B232">
        <v>5836</v>
      </c>
      <c r="C232" s="34">
        <f t="shared" si="9"/>
        <v>1.7309603081911318E-2</v>
      </c>
      <c r="D232" s="35">
        <f t="shared" si="10"/>
        <v>3.1746031746031746E-4</v>
      </c>
      <c r="E232" s="35">
        <f t="shared" si="11"/>
        <v>1.6992142764451001E-2</v>
      </c>
    </row>
    <row r="233" spans="1:5" x14ac:dyDescent="0.25">
      <c r="A233" s="33">
        <v>41246</v>
      </c>
      <c r="B233">
        <v>5878.25</v>
      </c>
      <c r="C233" s="34">
        <f t="shared" si="9"/>
        <v>7.2395476353666055E-3</v>
      </c>
      <c r="D233" s="35">
        <f t="shared" si="10"/>
        <v>3.1746031746031746E-4</v>
      </c>
      <c r="E233" s="35">
        <f t="shared" si="11"/>
        <v>6.9220873179062885E-3</v>
      </c>
    </row>
    <row r="234" spans="1:5" x14ac:dyDescent="0.25">
      <c r="A234" s="33">
        <v>41247</v>
      </c>
      <c r="B234">
        <v>5866.8</v>
      </c>
      <c r="C234" s="34">
        <f t="shared" si="9"/>
        <v>-1.9478586313953494E-3</v>
      </c>
      <c r="D234" s="35">
        <f t="shared" si="10"/>
        <v>3.1746031746031746E-4</v>
      </c>
      <c r="E234" s="35">
        <f t="shared" si="11"/>
        <v>-2.2653189488556669E-3</v>
      </c>
    </row>
    <row r="235" spans="1:5" x14ac:dyDescent="0.25">
      <c r="A235" s="33">
        <v>41248</v>
      </c>
      <c r="B235">
        <v>5906.6</v>
      </c>
      <c r="C235" s="34">
        <f t="shared" si="9"/>
        <v>6.7839367287108043E-3</v>
      </c>
      <c r="D235" s="35">
        <f t="shared" si="10"/>
        <v>3.1746031746031746E-4</v>
      </c>
      <c r="E235" s="35">
        <f t="shared" si="11"/>
        <v>6.4664764112504873E-3</v>
      </c>
    </row>
    <row r="236" spans="1:5" x14ac:dyDescent="0.25">
      <c r="A236" s="33">
        <v>41249</v>
      </c>
      <c r="B236">
        <v>5926.3</v>
      </c>
      <c r="C236" s="34">
        <f t="shared" si="9"/>
        <v>3.3352520908813688E-3</v>
      </c>
      <c r="D236" s="35">
        <f t="shared" si="10"/>
        <v>3.1746031746031746E-4</v>
      </c>
      <c r="E236" s="35">
        <f t="shared" si="11"/>
        <v>3.0177917734210513E-3</v>
      </c>
    </row>
    <row r="237" spans="1:5" x14ac:dyDescent="0.25">
      <c r="A237" s="33">
        <v>41250</v>
      </c>
      <c r="B237">
        <v>5934</v>
      </c>
      <c r="C237" s="34">
        <f t="shared" si="9"/>
        <v>1.2992929821304955E-3</v>
      </c>
      <c r="D237" s="35">
        <f t="shared" si="10"/>
        <v>3.1746031746031746E-4</v>
      </c>
      <c r="E237" s="35">
        <f t="shared" si="11"/>
        <v>9.8183266467017803E-4</v>
      </c>
    </row>
    <row r="238" spans="1:5" x14ac:dyDescent="0.25">
      <c r="A238" s="33">
        <v>41253</v>
      </c>
      <c r="B238">
        <v>5916.05</v>
      </c>
      <c r="C238" s="34">
        <f t="shared" si="9"/>
        <v>-3.0249410178631031E-3</v>
      </c>
      <c r="D238" s="35">
        <f t="shared" si="10"/>
        <v>3.1746031746031746E-4</v>
      </c>
      <c r="E238" s="35">
        <f t="shared" si="11"/>
        <v>-3.3424013353234206E-3</v>
      </c>
    </row>
    <row r="239" spans="1:5" x14ac:dyDescent="0.25">
      <c r="A239" s="33">
        <v>41254</v>
      </c>
      <c r="B239">
        <v>5923.8</v>
      </c>
      <c r="C239" s="34">
        <f t="shared" si="9"/>
        <v>1.3099956896915899E-3</v>
      </c>
      <c r="D239" s="35">
        <f t="shared" si="10"/>
        <v>3.1746031746031746E-4</v>
      </c>
      <c r="E239" s="35">
        <f t="shared" si="11"/>
        <v>9.925353722312724E-4</v>
      </c>
    </row>
    <row r="240" spans="1:5" x14ac:dyDescent="0.25">
      <c r="A240" s="33">
        <v>41255</v>
      </c>
      <c r="B240">
        <v>5917.8</v>
      </c>
      <c r="C240" s="34">
        <f t="shared" si="9"/>
        <v>-1.0128633647320529E-3</v>
      </c>
      <c r="D240" s="35">
        <f t="shared" si="10"/>
        <v>3.1746031746031746E-4</v>
      </c>
      <c r="E240" s="35">
        <f t="shared" si="11"/>
        <v>-1.3303236821923703E-3</v>
      </c>
    </row>
    <row r="241" spans="1:5" x14ac:dyDescent="0.25">
      <c r="A241" s="33">
        <v>41256</v>
      </c>
      <c r="B241">
        <v>5900.35</v>
      </c>
      <c r="C241" s="34">
        <f t="shared" si="9"/>
        <v>-2.9487309473115175E-3</v>
      </c>
      <c r="D241" s="35">
        <f t="shared" si="10"/>
        <v>3.1746031746031746E-4</v>
      </c>
      <c r="E241" s="35">
        <f t="shared" si="11"/>
        <v>-3.266191264771835E-3</v>
      </c>
    </row>
    <row r="242" spans="1:5" x14ac:dyDescent="0.25">
      <c r="A242" s="33">
        <v>41257</v>
      </c>
      <c r="B242">
        <v>5846.9</v>
      </c>
      <c r="C242" s="34">
        <f t="shared" si="9"/>
        <v>-9.0587846483684009E-3</v>
      </c>
      <c r="D242" s="35">
        <f t="shared" si="10"/>
        <v>3.1746031746031746E-4</v>
      </c>
      <c r="E242" s="35">
        <f t="shared" si="11"/>
        <v>-9.3762449658287179E-3</v>
      </c>
    </row>
    <row r="243" spans="1:5" x14ac:dyDescent="0.25">
      <c r="A243" s="33">
        <v>41260</v>
      </c>
      <c r="B243">
        <v>5860.5</v>
      </c>
      <c r="C243" s="34">
        <f t="shared" si="9"/>
        <v>2.3260189160068112E-3</v>
      </c>
      <c r="D243" s="35">
        <f t="shared" si="10"/>
        <v>3.1746031746031746E-4</v>
      </c>
      <c r="E243" s="35">
        <f t="shared" si="11"/>
        <v>2.0085585985464938E-3</v>
      </c>
    </row>
    <row r="244" spans="1:5" x14ac:dyDescent="0.25">
      <c r="A244" s="33">
        <v>41261</v>
      </c>
      <c r="B244">
        <v>5873.6</v>
      </c>
      <c r="C244" s="34">
        <f t="shared" si="9"/>
        <v>2.2353041549356689E-3</v>
      </c>
      <c r="D244" s="35">
        <f t="shared" si="10"/>
        <v>3.1746031746031746E-4</v>
      </c>
      <c r="E244" s="35">
        <f t="shared" si="11"/>
        <v>1.9178438374753515E-3</v>
      </c>
    </row>
    <row r="245" spans="1:5" x14ac:dyDescent="0.25">
      <c r="A245" s="33">
        <v>41262</v>
      </c>
      <c r="B245">
        <v>5917.3</v>
      </c>
      <c r="C245" s="34">
        <f t="shared" si="9"/>
        <v>7.440070825388112E-3</v>
      </c>
      <c r="D245" s="35">
        <f t="shared" si="10"/>
        <v>3.1746031746031746E-4</v>
      </c>
      <c r="E245" s="35">
        <f t="shared" si="11"/>
        <v>7.122610507927795E-3</v>
      </c>
    </row>
    <row r="246" spans="1:5" x14ac:dyDescent="0.25">
      <c r="A246" s="33">
        <v>41263</v>
      </c>
      <c r="B246">
        <v>5934.45</v>
      </c>
      <c r="C246" s="34">
        <f t="shared" si="9"/>
        <v>2.8982813107327754E-3</v>
      </c>
      <c r="D246" s="35">
        <f t="shared" si="10"/>
        <v>3.1746031746031746E-4</v>
      </c>
      <c r="E246" s="35">
        <f t="shared" si="11"/>
        <v>2.5808209932724579E-3</v>
      </c>
    </row>
    <row r="247" spans="1:5" x14ac:dyDescent="0.25">
      <c r="A247" s="33">
        <v>41264</v>
      </c>
      <c r="B247">
        <v>5888</v>
      </c>
      <c r="C247" s="34">
        <f t="shared" si="9"/>
        <v>-7.8271785927929161E-3</v>
      </c>
      <c r="D247" s="35">
        <f t="shared" si="10"/>
        <v>3.1746031746031746E-4</v>
      </c>
      <c r="E247" s="35">
        <f t="shared" si="11"/>
        <v>-8.1446389102532331E-3</v>
      </c>
    </row>
    <row r="248" spans="1:5" x14ac:dyDescent="0.25">
      <c r="A248" s="33">
        <v>41267</v>
      </c>
      <c r="B248">
        <v>5869</v>
      </c>
      <c r="C248" s="34">
        <f t="shared" si="9"/>
        <v>-3.2269021739130821E-3</v>
      </c>
      <c r="D248" s="35">
        <f t="shared" si="10"/>
        <v>3.1746031746031746E-4</v>
      </c>
      <c r="E248" s="35">
        <f t="shared" si="11"/>
        <v>-3.5443624913733996E-3</v>
      </c>
    </row>
    <row r="249" spans="1:5" x14ac:dyDescent="0.25">
      <c r="A249" s="33">
        <v>41269</v>
      </c>
      <c r="B249">
        <v>5864.95</v>
      </c>
      <c r="C249" s="34">
        <f t="shared" si="9"/>
        <v>-6.9006645084346285E-4</v>
      </c>
      <c r="D249" s="35">
        <f t="shared" si="10"/>
        <v>3.1746031746031746E-4</v>
      </c>
      <c r="E249" s="35">
        <f t="shared" si="11"/>
        <v>-1.0075267683037803E-3</v>
      </c>
    </row>
    <row r="250" spans="1:5" x14ac:dyDescent="0.25">
      <c r="A250" s="33">
        <v>41270</v>
      </c>
      <c r="B250">
        <v>5930.2</v>
      </c>
      <c r="C250" s="34">
        <f t="shared" si="9"/>
        <v>1.112541453891347E-2</v>
      </c>
      <c r="D250" s="35">
        <f t="shared" si="10"/>
        <v>3.1746031746031746E-4</v>
      </c>
      <c r="E250" s="35">
        <f t="shared" si="11"/>
        <v>1.0807954221453153E-2</v>
      </c>
    </row>
    <row r="251" spans="1:5" x14ac:dyDescent="0.25">
      <c r="A251" s="33">
        <v>41271</v>
      </c>
      <c r="B251">
        <v>5887.15</v>
      </c>
      <c r="C251" s="34">
        <f t="shared" si="9"/>
        <v>-7.2594516205187753E-3</v>
      </c>
      <c r="D251" s="35">
        <f t="shared" si="10"/>
        <v>3.1746031746031746E-4</v>
      </c>
      <c r="E251" s="35">
        <f t="shared" si="11"/>
        <v>-7.5769119379790924E-3</v>
      </c>
    </row>
    <row r="252" spans="1:5" x14ac:dyDescent="0.25">
      <c r="A252" s="33">
        <v>41274</v>
      </c>
      <c r="B252">
        <v>5901.2</v>
      </c>
      <c r="C252" s="34">
        <f t="shared" si="9"/>
        <v>2.38655376540442E-3</v>
      </c>
      <c r="D252" s="35">
        <f t="shared" si="10"/>
        <v>3.1746031746031746E-4</v>
      </c>
      <c r="E252" s="35">
        <f t="shared" si="11"/>
        <v>2.0690934479441025E-3</v>
      </c>
    </row>
    <row r="253" spans="1:5" x14ac:dyDescent="0.25">
      <c r="A253" s="33">
        <v>41275</v>
      </c>
      <c r="B253">
        <v>5937.65</v>
      </c>
      <c r="C253" s="34">
        <f t="shared" si="9"/>
        <v>6.17670982173113E-3</v>
      </c>
      <c r="D253" s="35">
        <f t="shared" si="10"/>
        <v>3.1746031746031746E-4</v>
      </c>
      <c r="E253" s="35">
        <f t="shared" si="11"/>
        <v>5.859249504270813E-3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H16" sqref="H16"/>
    </sheetView>
  </sheetViews>
  <sheetFormatPr defaultRowHeight="15" x14ac:dyDescent="0.25"/>
  <cols>
    <col min="1" max="1" width="20.7109375" bestFit="1" customWidth="1"/>
    <col min="2" max="2" width="12.28515625" bestFit="1" customWidth="1"/>
    <col min="9" max="9" width="12.140625" bestFit="1" customWidth="1"/>
  </cols>
  <sheetData>
    <row r="1" spans="1:10" x14ac:dyDescent="0.25">
      <c r="A1" s="11"/>
      <c r="B1" s="56">
        <v>2012</v>
      </c>
      <c r="C1" s="56">
        <v>2013</v>
      </c>
      <c r="D1" s="56">
        <v>2014</v>
      </c>
      <c r="E1" s="56">
        <v>2015</v>
      </c>
      <c r="F1" s="56">
        <v>2016</v>
      </c>
      <c r="G1" s="56">
        <v>2017</v>
      </c>
      <c r="H1" s="56">
        <v>2018</v>
      </c>
    </row>
    <row r="2" spans="1:10" x14ac:dyDescent="0.25">
      <c r="A2" s="57" t="s">
        <v>171</v>
      </c>
      <c r="B2" s="58">
        <f>BS!B27+BS!B28+BS!B30</f>
        <v>15184.5</v>
      </c>
      <c r="C2" s="58">
        <f>BS!C27+BS!C28+BS!C30</f>
        <v>17434.919999999998</v>
      </c>
      <c r="D2" s="58">
        <f>BS!D27+BS!D28+BS!D30</f>
        <v>20035.423999999999</v>
      </c>
      <c r="E2" s="58">
        <f>BS!E27+BS!E28+BS!E30</f>
        <v>23056.0288</v>
      </c>
      <c r="F2" s="58">
        <f>BS!F27+BS!F28+BS!F30</f>
        <v>26580.754559999994</v>
      </c>
      <c r="G2" s="58">
        <f>BS!G27+BS!G28+BS!G30</f>
        <v>30710.425471999995</v>
      </c>
      <c r="H2" s="58">
        <f>BS!H27+BS!H28+BS!H30</f>
        <v>35566.030566399997</v>
      </c>
      <c r="J2" t="s">
        <v>178</v>
      </c>
    </row>
    <row r="3" spans="1:10" x14ac:dyDescent="0.25">
      <c r="A3" s="57" t="s">
        <v>172</v>
      </c>
      <c r="B3" s="58">
        <f>BS!B34+BS!B48+BS!B47</f>
        <v>8573</v>
      </c>
      <c r="C3" s="58">
        <f>BS!C34+BS!C48+BS!C47</f>
        <v>10287.599999999999</v>
      </c>
      <c r="D3" s="58">
        <f>BS!D34+BS!D48+BS!D47</f>
        <v>12345.119999999997</v>
      </c>
      <c r="E3" s="58">
        <f>BS!E34+BS!E48+BS!E47</f>
        <v>14814.143999999997</v>
      </c>
      <c r="F3" s="58">
        <f>BS!F34+BS!F48+BS!F47</f>
        <v>17776.972799999996</v>
      </c>
      <c r="G3" s="58">
        <f>BS!G34+BS!G48+BS!G47</f>
        <v>21332.367359999997</v>
      </c>
      <c r="H3" s="58">
        <f>BS!H34+BS!H48+BS!H47</f>
        <v>25598.840831999991</v>
      </c>
      <c r="J3" t="s">
        <v>179</v>
      </c>
    </row>
    <row r="4" spans="1:10" x14ac:dyDescent="0.25">
      <c r="A4" s="57" t="s">
        <v>173</v>
      </c>
      <c r="B4" s="58">
        <f>B2-B3</f>
        <v>6611.5</v>
      </c>
      <c r="C4" s="58">
        <f t="shared" ref="C4:H4" si="0">C2-C3</f>
        <v>7147.32</v>
      </c>
      <c r="D4" s="58">
        <f t="shared" si="0"/>
        <v>7690.3040000000019</v>
      </c>
      <c r="E4" s="58">
        <f t="shared" si="0"/>
        <v>8241.8848000000035</v>
      </c>
      <c r="F4" s="58">
        <f t="shared" si="0"/>
        <v>8803.781759999998</v>
      </c>
      <c r="G4" s="58">
        <f t="shared" si="0"/>
        <v>9378.0581119999988</v>
      </c>
      <c r="H4" s="58">
        <f t="shared" si="0"/>
        <v>9967.1897344000063</v>
      </c>
      <c r="J4" t="s">
        <v>180</v>
      </c>
    </row>
    <row r="5" spans="1:10" x14ac:dyDescent="0.25">
      <c r="A5" s="57" t="s">
        <v>170</v>
      </c>
      <c r="B5" s="22">
        <f>(PL!L23-PL!L26)*(1-Assumptions!B9)+Depn!B9</f>
        <v>4957.4670000000006</v>
      </c>
      <c r="C5" s="22">
        <f>(PL!M23-PL!M26)*(1-Assumptions!C9)+Depn!C9</f>
        <v>8251.0740960000039</v>
      </c>
      <c r="D5" s="22">
        <f>(PL!N23-PL!N26)*(1-Assumptions!D9)+Depn!D9</f>
        <v>9901.2889151999989</v>
      </c>
      <c r="E5" s="22">
        <f>(PL!O23-PL!O26)*(1-Assumptions!E9)+Depn!E9</f>
        <v>11881.546698240003</v>
      </c>
      <c r="F5" s="22">
        <f>(PL!P23-PL!P26)*(1-Assumptions!F9)+Depn!F9</f>
        <v>14257.856037888007</v>
      </c>
      <c r="G5" s="22">
        <f>(PL!Q23-PL!Q26)*(1-Assumptions!G9)+Depn!G9</f>
        <v>17109.427245465595</v>
      </c>
      <c r="H5" s="22">
        <f>(PL!R23-PL!R26)*(1-Assumptions!H9)+Depn!H9</f>
        <v>20531.312694558714</v>
      </c>
      <c r="J5" t="s">
        <v>177</v>
      </c>
    </row>
    <row r="6" spans="1:10" x14ac:dyDescent="0.25">
      <c r="A6" s="57" t="s">
        <v>184</v>
      </c>
      <c r="B6" s="22"/>
      <c r="C6" s="22">
        <f>Depn!C3+(D4-C4)+(BS!C25-BS!B25)</f>
        <v>1394.1840000000022</v>
      </c>
      <c r="D6" s="22">
        <f>Depn!D3+(E4-D4)+(BS!D25-BS!C25)</f>
        <v>1452.7808000000016</v>
      </c>
      <c r="E6" s="22">
        <f>Depn!E3+(F4-E4)+(BS!E25-BS!D25)</f>
        <v>1513.0969599999946</v>
      </c>
      <c r="F6" s="22">
        <f>Depn!F3+(G4-F4)+(BS!F25-BS!E25)</f>
        <v>1575.4763520000008</v>
      </c>
      <c r="G6" s="22">
        <f>Depn!G3+(H4-G4)+(BS!G25-BS!F25)</f>
        <v>1640.3316224000075</v>
      </c>
      <c r="H6" s="22"/>
      <c r="J6" t="s">
        <v>176</v>
      </c>
    </row>
    <row r="7" spans="1:10" x14ac:dyDescent="0.25">
      <c r="A7" s="57" t="s">
        <v>175</v>
      </c>
      <c r="B7" s="11"/>
      <c r="C7" s="22">
        <f>C5-C6</f>
        <v>6856.8900960000019</v>
      </c>
      <c r="D7" s="22">
        <f>D5-D6</f>
        <v>8448.5081151999966</v>
      </c>
      <c r="E7" s="22">
        <f>E5-E6</f>
        <v>10368.449738240008</v>
      </c>
      <c r="F7" s="22">
        <f>F5-F6</f>
        <v>12682.379685888005</v>
      </c>
      <c r="G7" s="22">
        <f>G5-G6</f>
        <v>15469.095623065587</v>
      </c>
      <c r="H7" s="22"/>
      <c r="J7" t="s">
        <v>181</v>
      </c>
    </row>
    <row r="10" spans="1:10" x14ac:dyDescent="0.25">
      <c r="A10" s="55" t="s">
        <v>174</v>
      </c>
      <c r="B10" s="11">
        <f>G7*(1+Assumptions!$B$16)/(Nifty!I7-Assumptions!$B$16)</f>
        <v>138750.55604072678</v>
      </c>
    </row>
    <row r="11" spans="1:10" x14ac:dyDescent="0.25">
      <c r="A11" s="55" t="s">
        <v>182</v>
      </c>
      <c r="B11" s="41">
        <f>NPV(Nifty!I7,C7:F7,G7+B10)</f>
        <v>109753.99879228364</v>
      </c>
    </row>
    <row r="12" spans="1:10" x14ac:dyDescent="0.25">
      <c r="A12" s="55" t="s">
        <v>183</v>
      </c>
      <c r="B12" s="41">
        <f>B11</f>
        <v>109753.99879228364</v>
      </c>
    </row>
    <row r="13" spans="1:10" x14ac:dyDescent="0.25">
      <c r="A13" s="55" t="s">
        <v>186</v>
      </c>
      <c r="B13" s="41">
        <f>B12+'Int from Debt'!D17</f>
        <v>109753.99879228364</v>
      </c>
    </row>
    <row r="14" spans="1:10" x14ac:dyDescent="0.25">
      <c r="A14" s="55" t="s">
        <v>187</v>
      </c>
      <c r="B14" s="41">
        <f>B13-BS!B15+BS!B29</f>
        <v>110699.89879228365</v>
      </c>
    </row>
    <row r="15" spans="1:10" x14ac:dyDescent="0.25">
      <c r="A15" s="55" t="s">
        <v>189</v>
      </c>
      <c r="B15" s="11">
        <v>246.148</v>
      </c>
    </row>
    <row r="16" spans="1:10" x14ac:dyDescent="0.25">
      <c r="A16" s="55" t="s">
        <v>188</v>
      </c>
      <c r="B16" s="41">
        <f>B14/B15</f>
        <v>449.72901990787517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Assumptions</vt:lpstr>
      <vt:lpstr>BS</vt:lpstr>
      <vt:lpstr>PL</vt:lpstr>
      <vt:lpstr>Depn</vt:lpstr>
      <vt:lpstr>Tax</vt:lpstr>
      <vt:lpstr>Int from Debt</vt:lpstr>
      <vt:lpstr>Share Price</vt:lpstr>
      <vt:lpstr>Nifty</vt:lpstr>
      <vt:lpstr>CF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Shivani</cp:lastModifiedBy>
  <dcterms:created xsi:type="dcterms:W3CDTF">2013-01-07T09:01:23Z</dcterms:created>
  <dcterms:modified xsi:type="dcterms:W3CDTF">2015-05-09T19:42:50Z</dcterms:modified>
</cp:coreProperties>
</file>