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filterPrivacy="1"/>
  <xr:revisionPtr revIDLastSave="0" documentId="8_{A550C85F-F1DE-6240-8118-82276D38F51F}" xr6:coauthVersionLast="47" xr6:coauthVersionMax="47" xr10:uidLastSave="{00000000-0000-0000-0000-000000000000}"/>
  <bookViews>
    <workbookView xWindow="0" yWindow="500" windowWidth="28800" windowHeight="15520" tabRatio="660" activeTab="1" xr2:uid="{00000000-000D-0000-FFFF-FFFF00000000}"/>
  </bookViews>
  <sheets>
    <sheet name="Notes" sheetId="8" r:id="rId1"/>
    <sheet name="Economic Data and Calculations" sheetId="2" r:id="rId2"/>
    <sheet name="CapEx and Funding" sheetId="4" r:id="rId3"/>
    <sheet name="Cost-Benefit Analysis" sheetId="7" r:id="rId4"/>
    <sheet name="Minister Brief (sample answers)" sheetId="5" r:id="rId5"/>
  </sheets>
  <externalReferences>
    <externalReference r:id="rId6"/>
  </externalReferences>
  <definedNames>
    <definedName name="DiscountRate">[1]Parameters!$C$8</definedName>
    <definedName name="_xlnm.Print_Area" localSheetId="1">'Economic Data and Calculations'!$A$1:$K$121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6" i="7" l="1"/>
  <c r="F41" i="2"/>
  <c r="R15" i="7" s="1"/>
  <c r="C41" i="2"/>
  <c r="C40" i="2"/>
  <c r="O14" i="7" s="1"/>
  <c r="R14" i="7"/>
  <c r="H14" i="7"/>
  <c r="E16" i="5"/>
  <c r="F37" i="2"/>
  <c r="E37" i="2"/>
  <c r="D37" i="2"/>
  <c r="C37" i="2"/>
  <c r="B37" i="2"/>
  <c r="A65" i="2"/>
  <c r="A64" i="2"/>
  <c r="A63" i="2"/>
  <c r="R17" i="7"/>
  <c r="B58" i="2"/>
  <c r="B57" i="2"/>
  <c r="P16" i="7"/>
  <c r="Q16" i="7"/>
  <c r="O16" i="7"/>
  <c r="E40" i="2"/>
  <c r="Q14" i="7" s="1"/>
  <c r="F40" i="2"/>
  <c r="B40" i="2"/>
  <c r="N14" i="7" s="1"/>
  <c r="E41" i="2"/>
  <c r="Q15" i="7" s="1"/>
  <c r="M13" i="7"/>
  <c r="C36" i="2"/>
  <c r="D36" i="2"/>
  <c r="D40" i="2" s="1"/>
  <c r="P14" i="7" s="1"/>
  <c r="E36" i="2"/>
  <c r="F36" i="2"/>
  <c r="B36" i="2"/>
  <c r="B41" i="2" s="1"/>
  <c r="N15" i="7" s="1"/>
  <c r="B17" i="2"/>
  <c r="B16" i="2"/>
  <c r="B15" i="2"/>
  <c r="O15" i="7" l="1"/>
  <c r="D41" i="2"/>
  <c r="P15" i="7" s="1"/>
  <c r="O23" i="7"/>
  <c r="F16" i="5"/>
  <c r="D16" i="5"/>
  <c r="F11" i="5"/>
  <c r="E11" i="5"/>
  <c r="D11" i="5"/>
  <c r="C21" i="7"/>
  <c r="C14" i="7"/>
  <c r="C16" i="7"/>
  <c r="C17" i="7"/>
  <c r="C15" i="7"/>
  <c r="M22" i="7"/>
  <c r="C22" i="7" s="1"/>
  <c r="N22" i="7"/>
  <c r="N21" i="7"/>
  <c r="M21" i="7"/>
  <c r="C23" i="7" l="1"/>
  <c r="C13" i="7"/>
  <c r="M18" i="7" l="1"/>
  <c r="S16" i="7"/>
  <c r="N23" i="7"/>
  <c r="P23" i="7"/>
  <c r="Q23" i="7"/>
  <c r="R23" i="7"/>
  <c r="M23" i="7"/>
  <c r="S22" i="7"/>
  <c r="S21" i="7"/>
  <c r="C18" i="7"/>
  <c r="N6" i="7"/>
  <c r="O6" i="7" l="1"/>
  <c r="N7" i="7"/>
  <c r="D13" i="7" s="1"/>
  <c r="S23" i="7"/>
  <c r="S13" i="7"/>
  <c r="D16" i="7" l="1"/>
  <c r="D21" i="7"/>
  <c r="D22" i="7"/>
  <c r="D17" i="7"/>
  <c r="P6" i="7"/>
  <c r="O7" i="7"/>
  <c r="E13" i="7" s="1"/>
  <c r="N5" i="4"/>
  <c r="O4" i="4"/>
  <c r="K4" i="4" s="1"/>
  <c r="O3" i="4"/>
  <c r="K3" i="4" s="1"/>
  <c r="K5" i="4" s="1"/>
  <c r="G4" i="4"/>
  <c r="G5" i="4"/>
  <c r="G6" i="4"/>
  <c r="G7" i="4"/>
  <c r="G8" i="4"/>
  <c r="G9" i="4"/>
  <c r="G10" i="4"/>
  <c r="G11" i="4"/>
  <c r="G12" i="4"/>
  <c r="G13" i="4"/>
  <c r="G14" i="4"/>
  <c r="G3" i="4"/>
  <c r="F17" i="4"/>
  <c r="F16" i="4"/>
  <c r="C16" i="4"/>
  <c r="C17" i="4"/>
  <c r="B17" i="4"/>
  <c r="B16" i="4"/>
  <c r="E21" i="7" l="1"/>
  <c r="E22" i="7"/>
  <c r="E17" i="7"/>
  <c r="E16" i="7"/>
  <c r="D23" i="7"/>
  <c r="Q6" i="7"/>
  <c r="P7" i="7"/>
  <c r="F13" i="7" s="1"/>
  <c r="S17" i="7"/>
  <c r="L4" i="4"/>
  <c r="L3" i="4"/>
  <c r="L5" i="4" s="1"/>
  <c r="M4" i="4"/>
  <c r="M3" i="4"/>
  <c r="M5" i="4" s="1"/>
  <c r="J3" i="4"/>
  <c r="J4" i="4"/>
  <c r="E23" i="7" l="1"/>
  <c r="R6" i="7"/>
  <c r="R7" i="7" s="1"/>
  <c r="H13" i="7" s="1"/>
  <c r="I13" i="7" s="1"/>
  <c r="Q7" i="7"/>
  <c r="G13" i="7" s="1"/>
  <c r="F22" i="7"/>
  <c r="F21" i="7"/>
  <c r="F16" i="7"/>
  <c r="F17" i="7"/>
  <c r="J5" i="4"/>
  <c r="F23" i="7" l="1"/>
  <c r="G17" i="7"/>
  <c r="G16" i="7"/>
  <c r="G22" i="7"/>
  <c r="G21" i="7"/>
  <c r="H22" i="7"/>
  <c r="H21" i="7"/>
  <c r="H16" i="7"/>
  <c r="I16" i="7" s="1"/>
  <c r="H17" i="7"/>
  <c r="E14" i="7"/>
  <c r="I14" i="7" s="1"/>
  <c r="G14" i="7"/>
  <c r="F14" i="7"/>
  <c r="I22" i="7" l="1"/>
  <c r="I17" i="7"/>
  <c r="H23" i="7"/>
  <c r="G23" i="7"/>
  <c r="I21" i="7"/>
  <c r="I23" i="7" s="1"/>
  <c r="D15" i="7"/>
  <c r="S15" i="7"/>
  <c r="N18" i="7"/>
  <c r="G15" i="7"/>
  <c r="G18" i="7" s="1"/>
  <c r="Q18" i="7"/>
  <c r="D14" i="7"/>
  <c r="S14" i="7"/>
  <c r="E15" i="7"/>
  <c r="E18" i="7" s="1"/>
  <c r="O18" i="7"/>
  <c r="H15" i="7"/>
  <c r="H18" i="7" s="1"/>
  <c r="R18" i="7"/>
  <c r="F15" i="7"/>
  <c r="F18" i="7" s="1"/>
  <c r="P18" i="7"/>
  <c r="C6" i="7" l="1"/>
  <c r="S18" i="7"/>
  <c r="I15" i="7"/>
  <c r="I18" i="7" s="1"/>
  <c r="C5" i="7" s="1"/>
  <c r="D18" i="7"/>
  <c r="C8" i="7" l="1"/>
  <c r="C7" i="7"/>
  <c r="C9" i="7" s="1"/>
</calcChain>
</file>

<file path=xl/sharedStrings.xml><?xml version="1.0" encoding="utf-8"?>
<sst xmlns="http://schemas.openxmlformats.org/spreadsheetml/2006/main" count="236" uniqueCount="143">
  <si>
    <t>Costs</t>
  </si>
  <si>
    <t>Central estimate</t>
  </si>
  <si>
    <t xml:space="preserve">Consumer Surplus </t>
  </si>
  <si>
    <t>Data to calculate economic benefits</t>
  </si>
  <si>
    <t>Source</t>
  </si>
  <si>
    <t>Visitation</t>
  </si>
  <si>
    <t>Interstate</t>
  </si>
  <si>
    <t>International</t>
  </si>
  <si>
    <t>Use/Comment</t>
  </si>
  <si>
    <t>Avoided costs</t>
  </si>
  <si>
    <t>REAL</t>
  </si>
  <si>
    <t>Benefits</t>
  </si>
  <si>
    <t>Labour Surplus from induced visitation</t>
  </si>
  <si>
    <t>Producer Surplus from induced visitation</t>
  </si>
  <si>
    <t>Returns to NSW residents (WTP results)</t>
  </si>
  <si>
    <t>Residual value of project assets</t>
  </si>
  <si>
    <t>Tourism Demand</t>
  </si>
  <si>
    <t>Length of stay (nights)</t>
  </si>
  <si>
    <t>Year 1 (‘000)</t>
  </si>
  <si>
    <t>Year 2 (‘000)</t>
  </si>
  <si>
    <t>Year 3 (‘000)</t>
  </si>
  <si>
    <t>Year 4 (‘000)</t>
  </si>
  <si>
    <t>Year 5 (‘000)</t>
  </si>
  <si>
    <t>Residual value</t>
  </si>
  <si>
    <t>Asset life (years)</t>
  </si>
  <si>
    <t>Land</t>
  </si>
  <si>
    <t>Total Benefits</t>
  </si>
  <si>
    <t>Total</t>
  </si>
  <si>
    <t>NSW Government Funding</t>
  </si>
  <si>
    <t>Other NSW project funding</t>
  </si>
  <si>
    <t>Total Costs</t>
  </si>
  <si>
    <t>Discount rate</t>
  </si>
  <si>
    <t>PRESENT VALUE</t>
  </si>
  <si>
    <t>NPV</t>
  </si>
  <si>
    <t>BCR</t>
  </si>
  <si>
    <t>NPV/I</t>
  </si>
  <si>
    <t>Power generator (fencing)</t>
  </si>
  <si>
    <t xml:space="preserve">Veterinary hospital and rehabilitation research construction </t>
  </si>
  <si>
    <t>Accommodation construction</t>
  </si>
  <si>
    <t>Holding pens (x12)</t>
  </si>
  <si>
    <t>Pathways and viewing platforms</t>
  </si>
  <si>
    <t>Heavy lift vehicles (x12)</t>
  </si>
  <si>
    <t>Ranger patrol vehicles (x12)</t>
  </si>
  <si>
    <t>Base estimate</t>
  </si>
  <si>
    <t>Contingency</t>
  </si>
  <si>
    <t>$ million</t>
  </si>
  <si>
    <t>Cross-check</t>
  </si>
  <si>
    <t>Stage</t>
  </si>
  <si>
    <t>2022/23</t>
  </si>
  <si>
    <t>2023/24</t>
  </si>
  <si>
    <t>2024/25</t>
  </si>
  <si>
    <t>2021/22</t>
  </si>
  <si>
    <t>Capital Expenditure</t>
  </si>
  <si>
    <t>Funding</t>
  </si>
  <si>
    <t>Brief to Minister</t>
  </si>
  <si>
    <t>$ '000</t>
  </si>
  <si>
    <t>Sensitivity Switches</t>
  </si>
  <si>
    <t>Consumer Surplus</t>
  </si>
  <si>
    <t>Labour surplus, induced visitation from interstate and international.</t>
  </si>
  <si>
    <t>Producer surplus, induced visitation from interstate and international.</t>
  </si>
  <si>
    <t>Asset life</t>
  </si>
  <si>
    <t>Yes, three.</t>
  </si>
  <si>
    <t>5 years</t>
  </si>
  <si>
    <t>10 years</t>
  </si>
  <si>
    <t>CapEx to NSW Government and Council, both 100% NSW-owned.</t>
  </si>
  <si>
    <t>Excluded</t>
  </si>
  <si>
    <t>The proponent claims visitation by NSW residents. They have not provided a reliable source for estimated visitation, have made up the nightly spend and this has double counting with the WTP survey results for consumer surplus.</t>
  </si>
  <si>
    <t>Assumptions</t>
  </si>
  <si>
    <t>Proponent can fund their portion of CapEx.</t>
  </si>
  <si>
    <t>Task: You are assessing the proponent's application. Prepare a rapid CBA for the construction period and 5 years of operations.</t>
  </si>
  <si>
    <t>Comments</t>
  </si>
  <si>
    <t xml:space="preserve">TPP17-03 states that a discount rate sensitivity rate should be included. </t>
  </si>
  <si>
    <t>Intervention Results Summary</t>
  </si>
  <si>
    <t>Summary</t>
  </si>
  <si>
    <t>Benefits PV $'000</t>
  </si>
  <si>
    <t>Project Year</t>
  </si>
  <si>
    <t>Costs PV $'000</t>
  </si>
  <si>
    <t>Discount Rate Factor</t>
  </si>
  <si>
    <t>Net Present Value (NPV)</t>
  </si>
  <si>
    <t xml:space="preserve">Benefit/Cost ratio (BCR) </t>
  </si>
  <si>
    <t>Net Present Value (NPV) / Investment</t>
  </si>
  <si>
    <t>Benefits (Present Value '000s)</t>
  </si>
  <si>
    <t>Costs (Present Value '000s)</t>
  </si>
  <si>
    <t>Central estimate = $10 per household</t>
  </si>
  <si>
    <t>Sensitivity 1 = $7.5 per household</t>
  </si>
  <si>
    <t>Sensitivity 2 = $12 per household</t>
  </si>
  <si>
    <t xml:space="preserve">Real cost </t>
  </si>
  <si>
    <t>2. Which sensitivity tests would be appropriate for this CBA? Please run the sensitivity tests and report the results in BCR, NPV and NPV/I.</t>
  </si>
  <si>
    <t>3. What are the main sources of benefits and costs in the central estimate (in net present value)? Which benefit types claimed by the proponent have you chosen to exclude, and why?</t>
  </si>
  <si>
    <t>1. What are the project's results for the central estimate (BCR, NPV, NPV/I)? What are the key assumptions?</t>
  </si>
  <si>
    <t>Surplus</t>
  </si>
  <si>
    <t>Producer</t>
  </si>
  <si>
    <t>Labour</t>
  </si>
  <si>
    <t>WTP</t>
  </si>
  <si>
    <t>FY22</t>
  </si>
  <si>
    <t>FY23</t>
  </si>
  <si>
    <t>FY24</t>
  </si>
  <si>
    <t>FY25</t>
  </si>
  <si>
    <t>FY26</t>
  </si>
  <si>
    <t>FY27</t>
  </si>
  <si>
    <t>Economic Data and Calculations</t>
  </si>
  <si>
    <t>Data</t>
  </si>
  <si>
    <t>Willingness to pay</t>
  </si>
  <si>
    <t>Notes</t>
  </si>
  <si>
    <t>Sensitivity - 95% confidence lower bound</t>
  </si>
  <si>
    <t>Sensitivity - 95% confidence upper bound</t>
  </si>
  <si>
    <t>NSW households</t>
  </si>
  <si>
    <t xml:space="preserve">2016 ABS figure. Would be more accurate to estimate growth since 2016, but this isn't in scope for this assessment. </t>
  </si>
  <si>
    <t>Calculation</t>
  </si>
  <si>
    <t>Consumer surplus</t>
  </si>
  <si>
    <t>Evidence for estimates provided by trusted Government source</t>
  </si>
  <si>
    <t>Presented in the table below</t>
  </si>
  <si>
    <t>Nightly spend</t>
  </si>
  <si>
    <t>Interstate visitors</t>
  </si>
  <si>
    <t>International visitors</t>
  </si>
  <si>
    <t>Producer surplus as a percentage of tourism spend</t>
  </si>
  <si>
    <t>Labour surplus as a percentage of tourism spend</t>
  </si>
  <si>
    <t>NSW visitors. Not relevant for analysis as consumer surplus is already estimated in the WTP results. Additionally, the source is unreliable.</t>
  </si>
  <si>
    <t>Tourism Spend</t>
  </si>
  <si>
    <t>Dropbear economic costs</t>
  </si>
  <si>
    <t>Annual cost of dropbear impact incurred by Opal Lakes Volunteer Brigade</t>
  </si>
  <si>
    <t>Annual cost of dropbear impact incurred by NSW farmers. Not relevant for analysis as this cost has been superseded by the Volunteer Brigade.</t>
  </si>
  <si>
    <t>Sensitivity</t>
  </si>
  <si>
    <t>Costs ($m)</t>
  </si>
  <si>
    <t>Total cost of project</t>
  </si>
  <si>
    <t>NSW Government share of funding</t>
  </si>
  <si>
    <t>Opal Lakes share of funding</t>
  </si>
  <si>
    <t>Same use with or without the project funding, so can be excluded from analysis.</t>
  </si>
  <si>
    <t>COSTS/FUNDING</t>
  </si>
  <si>
    <t>Conservation Park fencing and video monitoring</t>
  </si>
  <si>
    <t xml:space="preserve">Road, Amenities and Visitor information centre, including car park, etc. construction </t>
  </si>
  <si>
    <t>NSW Government (LEDF)</t>
  </si>
  <si>
    <t>Proponent (OLSC)</t>
  </si>
  <si>
    <t>WTP ($/household)</t>
  </si>
  <si>
    <t>CapEx and Operations overlap, so 6 year analysis period.</t>
  </si>
  <si>
    <t>Consumer surplus sensitivity has been included as it has a strong impact on the CBA results, it is material at 95% confidence interval lower bound.</t>
  </si>
  <si>
    <t>Sensitivity - 95% confidence interval lower bound</t>
  </si>
  <si>
    <t>Sensitivity - 95% confidence interval upper bound</t>
  </si>
  <si>
    <t>If asset life can be extended then there is a strong positive impact on CBA results.</t>
  </si>
  <si>
    <t>Avoided costs to NSW residents (Opal Lakes Volunteer Brigade), these are separate to below calculations of consumer, producer and labour surplus.</t>
  </si>
  <si>
    <t>Proponent surplus (Residual asset value to Opal Lakes Shire Council)</t>
  </si>
  <si>
    <t>Consumer surplus, source data from rigorous WTP survey results that avoids double counting with avoided costs below.</t>
  </si>
  <si>
    <t>Avoided costs only apply for 4 years as the Opal Lakes Volunteer Brigade only ceases functioning once construction is fully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</si>
</sst>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8" formatCode="&quot;$&quot;#,##0.00_);[Red]\(&quot;$&quot;#,##0.00\)"/>
    <numFmt numFmtId="164" formatCode="&quot;$&quot;#,##0;[Red]\-&quot;$&quot;#,##0"/>
    <numFmt numFmtId="165" formatCode="&quot;$&quot;#,##0.00;[Red]\-&quot;$&quot;#,##0.00"/>
    <numFmt numFmtId="166" formatCode="0.0%"/>
    <numFmt numFmtId="167" formatCode="#,##0.0_);\(#,##0.0\);&quot;- &quot;"/>
    <numFmt numFmtId="168" formatCode="_(* #,##0.0_);_(* \(#,##0.0\);_(* &quot;-&quot;??_);_(@_)"/>
    <numFmt numFmtId="169" formatCode="#,##0_);\(#,##0\);&quot;- &quot;"/>
    <numFmt numFmtId="170" formatCode="[Color10]#,##0_);[Color30]\(#,##0\);&quot;- &quot;"/>
    <numFmt numFmtId="171" formatCode="#,##0.0%_);\(#,##0.0%\);&quot;- &quot;"/>
    <numFmt numFmtId="172" formatCode="[Color10]#,##0.00_);[Color30]\(#,##0.00\);&quot;- &quot;"/>
    <numFmt numFmtId="173" formatCode="_(* #,##0_);_(* \(#,##0\);_(* &quot;-&quot;??_);_(@_)"/>
    <numFmt numFmtId="174" formatCode="&quot;$&quot;#,##0.00_-;\(&quot;$&quot;#,##0.00\);\-_;"/>
    <numFmt numFmtId="175" formatCode="#,##0_-;\(#,##0\);\-_;"/>
    <numFmt numFmtId="176" formatCode="&quot;$&quot;#,##0_-;\(&quot;$&quot;#,##0\);\-_;"/>
    <numFmt numFmtId="177" formatCode="#,##0.00_-;\(#,##0.00\);\-_;"/>
  </numFmts>
  <fonts count="2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b/>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s>
  <fills count="13">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BDD6EE"/>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E6E6"/>
        <bgColor indexed="64"/>
      </patternFill>
    </fill>
  </fills>
  <borders count="12">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s>
  <cellStyleXfs count="12">
    <xf numFmtId="0" fontId="0" fillId="0" borderId="0"/>
    <xf numFmtId="0" fontId="2" fillId="2" borderId="0" applyNumberFormat="0" applyBorder="0" applyAlignment="0" applyProtection="0"/>
    <xf numFmtId="9" fontId="1" fillId="0" borderId="0" applyFont="0" applyFill="0" applyBorder="0" applyAlignment="0" applyProtection="0"/>
    <xf numFmtId="49" fontId="11" fillId="8" borderId="0">
      <alignment vertical="center"/>
    </xf>
    <xf numFmtId="167" fontId="12" fillId="0" borderId="0"/>
    <xf numFmtId="0" fontId="13" fillId="9" borderId="7" applyNumberFormat="0">
      <alignment vertical="center"/>
      <protection locked="0"/>
    </xf>
    <xf numFmtId="9" fontId="13" fillId="9" borderId="7">
      <protection locked="0"/>
    </xf>
    <xf numFmtId="168" fontId="15" fillId="0" borderId="9"/>
    <xf numFmtId="169" fontId="11" fillId="8" borderId="10">
      <alignment horizontal="center" vertical="center" wrapText="1"/>
    </xf>
    <xf numFmtId="170" fontId="16" fillId="0" borderId="9"/>
    <xf numFmtId="171" fontId="15" fillId="0" borderId="9"/>
    <xf numFmtId="169" fontId="17" fillId="10" borderId="11"/>
  </cellStyleXfs>
  <cellXfs count="90">
    <xf numFmtId="0" fontId="0" fillId="0" borderId="0" xfId="0"/>
    <xf numFmtId="0" fontId="3" fillId="0" borderId="0" xfId="0" applyFont="1"/>
    <xf numFmtId="0" fontId="6" fillId="5" borderId="4" xfId="0" applyFont="1" applyFill="1" applyBorder="1" applyAlignment="1">
      <alignment horizontal="justify" vertical="center" wrapText="1"/>
    </xf>
    <xf numFmtId="0" fontId="7" fillId="0" borderId="4" xfId="0" applyFont="1" applyBorder="1" applyAlignment="1">
      <alignment horizontal="justify" vertical="center" wrapText="1"/>
    </xf>
    <xf numFmtId="0" fontId="8" fillId="5" borderId="4" xfId="0" applyFont="1" applyFill="1" applyBorder="1" applyAlignment="1">
      <alignment horizontal="justify"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8" fontId="0" fillId="6" borderId="0" xfId="0" applyNumberFormat="1" applyFill="1"/>
    <xf numFmtId="0" fontId="0" fillId="3" borderId="0" xfId="0" applyFill="1"/>
    <xf numFmtId="0" fontId="6" fillId="5" borderId="4" xfId="0" applyFont="1" applyFill="1" applyBorder="1" applyAlignment="1">
      <alignment horizontal="left" vertical="center" wrapText="1"/>
    </xf>
    <xf numFmtId="0" fontId="7" fillId="0" borderId="4" xfId="0" applyFont="1" applyBorder="1" applyAlignment="1">
      <alignment horizontal="left" vertical="center" wrapText="1"/>
    </xf>
    <xf numFmtId="2" fontId="0" fillId="0" borderId="0" xfId="0" applyNumberFormat="1"/>
    <xf numFmtId="0" fontId="9" fillId="0" borderId="0" xfId="0" applyFont="1"/>
    <xf numFmtId="0" fontId="10" fillId="0" borderId="0" xfId="0" applyFont="1"/>
    <xf numFmtId="49" fontId="11" fillId="8" borderId="0" xfId="3">
      <alignment vertical="center"/>
    </xf>
    <xf numFmtId="167" fontId="12" fillId="0" borderId="0" xfId="4"/>
    <xf numFmtId="49" fontId="14" fillId="0" borderId="8" xfId="3" applyFont="1" applyFill="1" applyBorder="1">
      <alignment vertical="center"/>
    </xf>
    <xf numFmtId="168" fontId="15" fillId="0" borderId="0" xfId="7" applyBorder="1"/>
    <xf numFmtId="169" fontId="11" fillId="8" borderId="10" xfId="8">
      <alignment horizontal="center" vertical="center" wrapText="1"/>
    </xf>
    <xf numFmtId="168" fontId="15" fillId="0" borderId="9" xfId="7"/>
    <xf numFmtId="2" fontId="15" fillId="0" borderId="9" xfId="7" applyNumberFormat="1"/>
    <xf numFmtId="171" fontId="15" fillId="0" borderId="9" xfId="10"/>
    <xf numFmtId="168" fontId="14" fillId="0" borderId="9" xfId="7" applyFont="1"/>
    <xf numFmtId="170" fontId="17" fillId="0" borderId="9" xfId="9" applyFont="1"/>
    <xf numFmtId="168" fontId="18" fillId="0" borderId="9" xfId="7" applyFont="1"/>
    <xf numFmtId="172" fontId="17" fillId="0" borderId="9" xfId="9" applyNumberFormat="1" applyFont="1"/>
    <xf numFmtId="168" fontId="19" fillId="0" borderId="9" xfId="7" applyFont="1"/>
    <xf numFmtId="172" fontId="16" fillId="0" borderId="9" xfId="9" applyNumberFormat="1"/>
    <xf numFmtId="167" fontId="12" fillId="10" borderId="0" xfId="4" applyFill="1"/>
    <xf numFmtId="1" fontId="11" fillId="8" borderId="10" xfId="8" applyNumberFormat="1">
      <alignment horizontal="center" vertical="center" wrapText="1"/>
    </xf>
    <xf numFmtId="0" fontId="11" fillId="8" borderId="10" xfId="8" applyNumberFormat="1">
      <alignment horizontal="center" vertical="center" wrapText="1"/>
    </xf>
    <xf numFmtId="168" fontId="15" fillId="10" borderId="9" xfId="7" applyFill="1"/>
    <xf numFmtId="169" fontId="17" fillId="10" borderId="11" xfId="11"/>
    <xf numFmtId="168" fontId="13" fillId="9" borderId="7" xfId="5" applyNumberFormat="1">
      <alignment vertical="center"/>
      <protection locked="0"/>
    </xf>
    <xf numFmtId="10" fontId="15" fillId="0" borderId="9" xfId="7" applyNumberFormat="1"/>
    <xf numFmtId="9" fontId="13" fillId="9" borderId="7" xfId="2" applyFont="1" applyFill="1" applyBorder="1" applyAlignment="1" applyProtection="1">
      <alignment vertical="center"/>
      <protection locked="0"/>
    </xf>
    <xf numFmtId="10" fontId="15" fillId="0" borderId="9" xfId="2" applyNumberFormat="1" applyFont="1" applyBorder="1"/>
    <xf numFmtId="4" fontId="0" fillId="0" borderId="0" xfId="0" applyNumberFormat="1"/>
    <xf numFmtId="3" fontId="0" fillId="0" borderId="0" xfId="0" applyNumberFormat="1"/>
    <xf numFmtId="0" fontId="0" fillId="0" borderId="0" xfId="0" applyAlignment="1">
      <alignment horizontal="right"/>
    </xf>
    <xf numFmtId="164" fontId="15" fillId="0" borderId="9" xfId="7" applyNumberFormat="1"/>
    <xf numFmtId="165" fontId="15" fillId="0" borderId="9" xfId="7" applyNumberFormat="1"/>
    <xf numFmtId="173" fontId="15" fillId="0" borderId="9" xfId="7" applyNumberFormat="1"/>
    <xf numFmtId="174" fontId="0" fillId="0" borderId="0" xfId="0" applyNumberFormat="1" applyAlignment="1">
      <alignment horizontal="right" vertical="center"/>
    </xf>
    <xf numFmtId="175" fontId="0" fillId="0" borderId="0" xfId="0" applyNumberFormat="1" applyAlignment="1">
      <alignment horizontal="right"/>
    </xf>
    <xf numFmtId="175" fontId="0" fillId="0" borderId="0" xfId="0" applyNumberFormat="1" applyAlignment="1">
      <alignment horizontal="right" vertical="center"/>
    </xf>
    <xf numFmtId="174" fontId="13" fillId="9" borderId="7" xfId="5" applyNumberFormat="1" applyAlignment="1">
      <alignment horizontal="right" vertical="center"/>
      <protection locked="0"/>
    </xf>
    <xf numFmtId="0" fontId="5" fillId="4" borderId="2" xfId="0" applyFont="1" applyFill="1" applyBorder="1" applyAlignment="1">
      <alignment horizontal="right" wrapText="1"/>
    </xf>
    <xf numFmtId="0" fontId="5" fillId="4" borderId="3" xfId="0" applyFont="1" applyFill="1" applyBorder="1" applyAlignment="1">
      <alignment horizontal="right" wrapText="1"/>
    </xf>
    <xf numFmtId="175" fontId="6" fillId="7" borderId="5" xfId="0" applyNumberFormat="1" applyFont="1" applyFill="1" applyBorder="1" applyAlignment="1">
      <alignment horizontal="right" vertical="center"/>
    </xf>
    <xf numFmtId="175" fontId="6" fillId="5" borderId="5" xfId="0" applyNumberFormat="1" applyFont="1" applyFill="1" applyBorder="1" applyAlignment="1">
      <alignment horizontal="right" vertical="center"/>
    </xf>
    <xf numFmtId="175" fontId="6" fillId="5" borderId="6" xfId="0" applyNumberFormat="1" applyFont="1" applyFill="1" applyBorder="1" applyAlignment="1">
      <alignment horizontal="right" vertical="center"/>
    </xf>
    <xf numFmtId="175" fontId="7" fillId="0" borderId="5" xfId="0" applyNumberFormat="1" applyFont="1" applyBorder="1" applyAlignment="1">
      <alignment horizontal="right" vertical="center"/>
    </xf>
    <xf numFmtId="175" fontId="7" fillId="0" borderId="6" xfId="0" applyNumberFormat="1" applyFont="1" applyBorder="1" applyAlignment="1">
      <alignment horizontal="right" vertical="center"/>
    </xf>
    <xf numFmtId="176" fontId="0" fillId="0" borderId="0" xfId="0" applyNumberFormat="1" applyAlignment="1">
      <alignment horizontal="right" vertical="center"/>
    </xf>
    <xf numFmtId="9" fontId="0" fillId="0" borderId="0" xfId="2" applyFont="1"/>
    <xf numFmtId="177" fontId="0" fillId="0" borderId="0" xfId="0" applyNumberFormat="1" applyAlignment="1">
      <alignment horizontal="right" vertical="center"/>
    </xf>
    <xf numFmtId="174" fontId="7" fillId="0" borderId="5" xfId="0" applyNumberFormat="1" applyFont="1" applyBorder="1" applyAlignment="1">
      <alignment horizontal="right"/>
    </xf>
    <xf numFmtId="174" fontId="7" fillId="0" borderId="6" xfId="0" applyNumberFormat="1" applyFont="1" applyBorder="1" applyAlignment="1">
      <alignment horizontal="right"/>
    </xf>
    <xf numFmtId="174" fontId="6" fillId="5" borderId="5" xfId="0" applyNumberFormat="1" applyFont="1" applyFill="1" applyBorder="1" applyAlignment="1">
      <alignment horizontal="right"/>
    </xf>
    <xf numFmtId="174" fontId="6" fillId="5" borderId="6" xfId="0" applyNumberFormat="1" applyFont="1" applyFill="1" applyBorder="1" applyAlignment="1">
      <alignment horizontal="right"/>
    </xf>
    <xf numFmtId="174" fontId="8" fillId="5" borderId="5" xfId="0" applyNumberFormat="1" applyFont="1" applyFill="1" applyBorder="1" applyAlignment="1">
      <alignment horizontal="right"/>
    </xf>
    <xf numFmtId="174" fontId="8" fillId="5" borderId="6" xfId="0" applyNumberFormat="1" applyFont="1" applyFill="1" applyBorder="1" applyAlignment="1">
      <alignment horizontal="right"/>
    </xf>
    <xf numFmtId="174" fontId="7" fillId="0" borderId="0" xfId="0" applyNumberFormat="1" applyFont="1" applyAlignment="1">
      <alignment horizontal="right"/>
    </xf>
    <xf numFmtId="166" fontId="7" fillId="0" borderId="0" xfId="2" applyNumberFormat="1" applyFont="1" applyAlignment="1"/>
    <xf numFmtId="174" fontId="7" fillId="3" borderId="0" xfId="0" applyNumberFormat="1" applyFont="1" applyFill="1" applyAlignment="1">
      <alignment horizontal="right"/>
    </xf>
    <xf numFmtId="0" fontId="7" fillId="0" borderId="0" xfId="0" applyFont="1"/>
    <xf numFmtId="170" fontId="16" fillId="0" borderId="9" xfId="9"/>
    <xf numFmtId="1" fontId="11" fillId="8" borderId="10" xfId="8" applyNumberFormat="1" applyAlignment="1">
      <alignment horizontal="right" vertical="center" wrapText="1"/>
    </xf>
    <xf numFmtId="0" fontId="11" fillId="8" borderId="10" xfId="8" applyNumberFormat="1" applyAlignment="1">
      <alignment horizontal="right" vertical="center" wrapText="1"/>
    </xf>
    <xf numFmtId="175" fontId="15" fillId="0" borderId="9" xfId="7" applyNumberFormat="1" applyAlignment="1">
      <alignment horizontal="right" vertical="center"/>
    </xf>
    <xf numFmtId="175" fontId="17" fillId="10" borderId="11" xfId="11" applyNumberFormat="1" applyAlignment="1">
      <alignment horizontal="right" vertical="center"/>
    </xf>
    <xf numFmtId="175" fontId="15" fillId="10" borderId="9" xfId="7" applyNumberFormat="1" applyFill="1" applyAlignment="1">
      <alignment horizontal="right" vertical="center"/>
    </xf>
    <xf numFmtId="0" fontId="3" fillId="3" borderId="0" xfId="0" applyFont="1" applyFill="1"/>
    <xf numFmtId="0" fontId="3" fillId="0" borderId="0" xfId="0" applyFont="1" applyAlignment="1">
      <alignment horizontal="right"/>
    </xf>
    <xf numFmtId="9" fontId="3" fillId="3" borderId="0" xfId="0" applyNumberFormat="1" applyFont="1" applyFill="1"/>
    <xf numFmtId="0" fontId="3" fillId="3" borderId="0" xfId="0" applyFont="1" applyFill="1" applyAlignment="1">
      <alignment horizontal="right"/>
    </xf>
    <xf numFmtId="0" fontId="3" fillId="11" borderId="0" xfId="0" applyFont="1" applyFill="1"/>
    <xf numFmtId="0" fontId="0" fillId="11" borderId="0" xfId="0" applyFill="1"/>
    <xf numFmtId="0" fontId="3" fillId="12" borderId="0" xfId="0" applyFont="1" applyFill="1"/>
    <xf numFmtId="0" fontId="0" fillId="12" borderId="0" xfId="0" applyFill="1"/>
    <xf numFmtId="0" fontId="3" fillId="10" borderId="0" xfId="0" applyFont="1" applyFill="1"/>
    <xf numFmtId="0" fontId="0" fillId="10" borderId="0" xfId="0" applyFill="1"/>
    <xf numFmtId="0" fontId="0" fillId="0" borderId="0" xfId="0" applyAlignment="1">
      <alignment vertical="top"/>
    </xf>
    <xf numFmtId="175" fontId="14" fillId="10" borderId="9" xfId="7" applyNumberFormat="1" applyFont="1" applyFill="1" applyAlignment="1">
      <alignment horizontal="right" vertical="center"/>
    </xf>
    <xf numFmtId="175" fontId="14" fillId="0" borderId="9" xfId="7" applyNumberFormat="1" applyFont="1" applyAlignment="1">
      <alignment horizontal="right" vertical="center"/>
    </xf>
    <xf numFmtId="0" fontId="3" fillId="11" borderId="0" xfId="0" applyFont="1" applyFill="1" applyAlignment="1">
      <alignment horizontal="right"/>
    </xf>
    <xf numFmtId="174" fontId="3" fillId="3" borderId="0" xfId="0" applyNumberFormat="1" applyFont="1" applyFill="1" applyAlignment="1">
      <alignment horizontal="right" vertical="center"/>
    </xf>
  </cellXfs>
  <cellStyles count="12">
    <cellStyle name="Bad 2" xfId="1" xr:uid="{B03EBECC-4434-4525-8FB0-19D98432DF3E}"/>
    <cellStyle name="Calc_num" xfId="7" xr:uid="{7F84172A-5951-462B-A44B-7A5D38108FAC}"/>
    <cellStyle name="Calc_Perc" xfId="10" xr:uid="{C17778C8-ABAA-4D3C-B45F-A283AC9F659C}"/>
    <cellStyle name="Cell.Input" xfId="5" xr:uid="{6B045C91-CF9F-4977-879E-C74B564FA8F0}"/>
    <cellStyle name="Cell.Input.Perc" xfId="6" xr:uid="{751E40A9-7C3E-4797-99D2-05909DFE5822}"/>
    <cellStyle name="Header" xfId="4" xr:uid="{782A1C90-5938-4AA3-8A5B-331F183D7332}"/>
    <cellStyle name="Header Number" xfId="8" xr:uid="{9D16B900-10F3-47C2-973E-9F4D39B9295B}"/>
    <cellStyle name="Normal" xfId="0" builtinId="0"/>
    <cellStyle name="Percent" xfId="2" builtinId="5"/>
    <cellStyle name="Section Header 1 2" xfId="3" xr:uid="{53E4BD05-D8CC-4BE5-9A11-A35DEE789DEB}"/>
    <cellStyle name="Subtotal" xfId="11" xr:uid="{BF3085C1-C83F-4068-84D7-C8B852F632B5}"/>
    <cellStyle name="Variance" xfId="9" xr:uid="{FAB2BCE6-F715-4835-A7D2-FBD169E329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28575</xdr:rowOff>
    </xdr:from>
    <xdr:to>
      <xdr:col>11</xdr:col>
      <xdr:colOff>9525</xdr:colOff>
      <xdr:row>24</xdr:row>
      <xdr:rowOff>38100</xdr:rowOff>
    </xdr:to>
    <xdr:sp macro="" textlink="">
      <xdr:nvSpPr>
        <xdr:cNvPr id="2" name="TextBox 1">
          <a:extLst>
            <a:ext uri="{FF2B5EF4-FFF2-40B4-BE49-F238E27FC236}">
              <a16:creationId xmlns:a16="http://schemas.microsoft.com/office/drawing/2014/main" id="{54E1C4D7-8133-4139-A418-F9EC3B2490CA}"/>
            </a:ext>
          </a:extLst>
        </xdr:cNvPr>
        <xdr:cNvSpPr txBox="1"/>
      </xdr:nvSpPr>
      <xdr:spPr>
        <a:xfrm>
          <a:off x="123825" y="219075"/>
          <a:ext cx="6591300" cy="4391025"/>
        </a:xfrm>
        <a:prstGeom prst="rect">
          <a:avLst/>
        </a:prstGeom>
        <a:solidFill>
          <a:schemeClr val="accent1">
            <a:lumMod val="20000"/>
            <a:lumOff val="8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1"/>
            <a:t>Notes</a:t>
          </a:r>
        </a:p>
        <a:p>
          <a:pPr algn="just"/>
          <a:endParaRPr lang="en-AU" sz="1100" b="1"/>
        </a:p>
        <a:p>
          <a:pPr marL="171450" indent="-171450" algn="just">
            <a:spcAft>
              <a:spcPts val="600"/>
            </a:spcAft>
            <a:buFont typeface="Arial" panose="020B0604020202020204" pitchFamily="34" charset="0"/>
            <a:buChar char="•"/>
          </a:pPr>
          <a:r>
            <a:rPr lang="en-AU" sz="1100" b="0" baseline="0"/>
            <a:t>This spreadsheet contains sample answers. Don't worry if your presentation was different - this is just one way to structure your calculations. What matters is the economic logic you've applied to the task.</a:t>
          </a:r>
        </a:p>
        <a:p>
          <a:pPr marL="171450" indent="-171450" algn="just">
            <a:spcAft>
              <a:spcPts val="600"/>
            </a:spcAft>
            <a:buFont typeface="Arial" panose="020B0604020202020204" pitchFamily="34" charset="0"/>
            <a:buChar char="•"/>
          </a:pPr>
          <a:r>
            <a:rPr lang="en-AU" sz="1100" b="0" baseline="0"/>
            <a:t>We've used cell references wherever possible to ensure that answers are precise and consistent. </a:t>
          </a:r>
        </a:p>
        <a:p>
          <a:pPr algn="just">
            <a:spcAft>
              <a:spcPts val="600"/>
            </a:spcAft>
          </a:pPr>
          <a:r>
            <a:rPr lang="en-AU" sz="1100" b="0" baseline="0"/>
            <a:t>Here are some common errors that you might have run into when completing the task. The business case had a few red herrings in it to test your understanding of CBA principles and economic logic. Compare your work against this worked example to figure out what you might have missed!</a:t>
          </a:r>
        </a:p>
        <a:p>
          <a:pPr marL="171450" indent="-171450" algn="just">
            <a:spcAft>
              <a:spcPts val="600"/>
            </a:spcAft>
            <a:buFont typeface="Arial" panose="020B0604020202020204" pitchFamily="34" charset="0"/>
            <a:buChar char="•"/>
          </a:pPr>
          <a:r>
            <a:rPr lang="en-AU" sz="1100" b="0" baseline="0"/>
            <a:t>Mixing up real and present values - CBA results should be in present value.</a:t>
          </a:r>
        </a:p>
        <a:p>
          <a:pPr marL="171450" indent="-171450" algn="just">
            <a:spcAft>
              <a:spcPts val="600"/>
            </a:spcAft>
            <a:buFont typeface="Arial" panose="020B0604020202020204" pitchFamily="34" charset="0"/>
            <a:buChar char="•"/>
          </a:pPr>
          <a:r>
            <a:rPr lang="en-AU" sz="1100" b="0" baseline="0"/>
            <a:t>Choosing the wrong 'base case' in the avoided cost calculation - the cost to NSW is $15 million per year, incurred by the Volunteer Brigade, not the $20 million per year that was previously incurred by the farmers! They are different groups of people, but they are both NSW residents, so we're only concerned with the final cost.</a:t>
          </a:r>
        </a:p>
        <a:p>
          <a:pPr marL="171450" indent="-171450" algn="just">
            <a:spcAft>
              <a:spcPts val="600"/>
            </a:spcAft>
            <a:buFont typeface="Arial" panose="020B0604020202020204" pitchFamily="34" charset="0"/>
            <a:buChar char="•"/>
          </a:pPr>
          <a:r>
            <a:rPr lang="en-AU" sz="1100" b="0" baseline="0"/>
            <a:t>Double counting visitation from NSW residents - this was already accounted for in the WTP survey, so you should have excluded their visitation expenditure. Also, the source of that data isn't reliable.</a:t>
          </a:r>
        </a:p>
        <a:p>
          <a:pPr marL="171450" indent="-171450" algn="just">
            <a:spcAft>
              <a:spcPts val="600"/>
            </a:spcAft>
            <a:buFont typeface="Arial" panose="020B0604020202020204" pitchFamily="34" charset="0"/>
            <a:buChar char="•"/>
          </a:pPr>
          <a:r>
            <a:rPr lang="en-AU" sz="1100" b="0" baseline="0"/>
            <a:t>Excluding some of the capital items - they all count as capital expenditure and you should include the full amount.</a:t>
          </a:r>
        </a:p>
        <a:p>
          <a:pPr marL="171450" indent="-171450" algn="just">
            <a:spcAft>
              <a:spcPts val="600"/>
            </a:spcAft>
            <a:buFont typeface="Arial" panose="020B0604020202020204" pitchFamily="34" charset="0"/>
            <a:buChar char="•"/>
          </a:pPr>
          <a:r>
            <a:rPr lang="en-AU" sz="1100" b="0" baseline="0"/>
            <a:t>Choosing the wrong appraisal period - the project is constructed over two years, but it begins functioning in the second year of construction. That means there should be six years in the appraisal period. </a:t>
          </a:r>
        </a:p>
        <a:p>
          <a:pPr marL="171450" indent="-171450" algn="just">
            <a:spcAft>
              <a:spcPts val="600"/>
            </a:spcAft>
            <a:buFont typeface="Arial" panose="020B0604020202020204" pitchFamily="34" charset="0"/>
            <a:buChar char="•"/>
          </a:pPr>
          <a:r>
            <a:rPr lang="en-AU" sz="1100" b="0" baseline="0"/>
            <a:t>Assuming five years of avoided costs instead of four - while the project is operational in Year 2 (FY23), the avoided costs do not come into effect until the project is complete in Year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685240</xdr:colOff>
      <xdr:row>0</xdr:row>
      <xdr:rowOff>124864</xdr:rowOff>
    </xdr:from>
    <xdr:to>
      <xdr:col>8</xdr:col>
      <xdr:colOff>121104</xdr:colOff>
      <xdr:row>7</xdr:row>
      <xdr:rowOff>126545</xdr:rowOff>
    </xdr:to>
    <xdr:sp macro="" textlink="">
      <xdr:nvSpPr>
        <xdr:cNvPr id="2" name="Speech Bubble: Rectangle with Corners Rounded 1">
          <a:extLst>
            <a:ext uri="{FF2B5EF4-FFF2-40B4-BE49-F238E27FC236}">
              <a16:creationId xmlns:a16="http://schemas.microsoft.com/office/drawing/2014/main" id="{7ED12534-A9E1-446C-B0F5-E121C1F50D3A}"/>
            </a:ext>
          </a:extLst>
        </xdr:cNvPr>
        <xdr:cNvSpPr/>
      </xdr:nvSpPr>
      <xdr:spPr>
        <a:xfrm>
          <a:off x="5981140" y="124864"/>
          <a:ext cx="2979164" cy="1268506"/>
        </a:xfrm>
        <a:prstGeom prst="wedgeRoundRectCallout">
          <a:avLst>
            <a:gd name="adj1" fmla="val 65076"/>
            <a:gd name="adj2" fmla="val -52246"/>
            <a:gd name="adj3" fmla="val 16667"/>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50">
              <a:solidFill>
                <a:schemeClr val="accent5">
                  <a:lumMod val="75000"/>
                </a:schemeClr>
              </a:solidFill>
            </a:rPr>
            <a:t>These</a:t>
          </a:r>
          <a:r>
            <a:rPr lang="en-AU" sz="1050" baseline="0">
              <a:solidFill>
                <a:schemeClr val="accent5">
                  <a:lumMod val="75000"/>
                </a:schemeClr>
              </a:solidFill>
            </a:rPr>
            <a:t> sensitivity switches allow us to use IF statements in the tables below to quickly perform sensitivity tests. If you aren't experienced with Excel, it's okay if you presented sensitivity results through multiple tables instead.</a:t>
          </a:r>
          <a:endParaRPr lang="en-AU" sz="1050">
            <a:solidFill>
              <a:schemeClr val="accent5">
                <a:lumMod val="7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gcforage/Downloads/Universal%20CBA%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F25C-C6A5-44CD-823C-6AE7A417B4B7}">
  <sheetPr>
    <pageSetUpPr fitToPage="1"/>
  </sheetPr>
  <dimension ref="A1:L26"/>
  <sheetViews>
    <sheetView showGridLines="0" showRowColHeaders="0" zoomScaleNormal="100" workbookViewId="0">
      <selection activeCell="I1" sqref="I1"/>
    </sheetView>
  </sheetViews>
  <sheetFormatPr baseColWidth="10" defaultColWidth="0" defaultRowHeight="15" zeroHeight="1" x14ac:dyDescent="0.2"/>
  <cols>
    <col min="1" max="11" width="9.1640625" customWidth="1"/>
    <col min="12" max="12" width="2.83203125" customWidth="1"/>
    <col min="13" max="16384" width="9.1640625" hidden="1"/>
  </cols>
  <sheetData>
    <row r="1" spans="1:12" x14ac:dyDescent="0.2">
      <c r="A1" s="10"/>
      <c r="B1" s="10"/>
      <c r="C1" s="10"/>
      <c r="D1" s="10"/>
      <c r="E1" s="10"/>
      <c r="F1" s="10"/>
      <c r="G1" s="10"/>
      <c r="H1" s="10"/>
      <c r="I1" s="10"/>
      <c r="J1" s="10"/>
      <c r="K1" s="10"/>
      <c r="L1" s="10"/>
    </row>
    <row r="2" spans="1:12" x14ac:dyDescent="0.2">
      <c r="A2" s="10"/>
      <c r="B2" s="10"/>
      <c r="C2" s="10"/>
      <c r="D2" s="10"/>
      <c r="E2" s="10"/>
      <c r="F2" s="10"/>
      <c r="G2" s="10"/>
      <c r="H2" s="10"/>
      <c r="I2" s="10"/>
      <c r="J2" s="10"/>
      <c r="K2" s="10"/>
      <c r="L2" s="10"/>
    </row>
    <row r="3" spans="1:12" x14ac:dyDescent="0.2">
      <c r="A3" s="10"/>
      <c r="B3" s="10"/>
      <c r="C3" s="10"/>
      <c r="D3" s="10"/>
      <c r="E3" s="10"/>
      <c r="F3" s="10"/>
      <c r="G3" s="10"/>
      <c r="H3" s="10"/>
      <c r="I3" s="10"/>
      <c r="J3" s="10"/>
      <c r="K3" s="10"/>
      <c r="L3" s="10"/>
    </row>
    <row r="4" spans="1:12" x14ac:dyDescent="0.2">
      <c r="A4" s="10"/>
      <c r="B4" s="10"/>
      <c r="C4" s="10"/>
      <c r="D4" s="10"/>
      <c r="E4" s="10"/>
      <c r="F4" s="10"/>
      <c r="G4" s="10"/>
      <c r="H4" s="10"/>
      <c r="I4" s="10"/>
      <c r="J4" s="10"/>
      <c r="K4" s="10"/>
      <c r="L4" s="10"/>
    </row>
    <row r="5" spans="1:12" x14ac:dyDescent="0.2">
      <c r="A5" s="10"/>
      <c r="B5" s="10"/>
      <c r="C5" s="10"/>
      <c r="D5" s="10"/>
      <c r="E5" s="10"/>
      <c r="F5" s="10"/>
      <c r="G5" s="10"/>
      <c r="H5" s="10"/>
      <c r="I5" s="10"/>
      <c r="J5" s="10"/>
      <c r="K5" s="10"/>
      <c r="L5" s="10"/>
    </row>
    <row r="6" spans="1:12" x14ac:dyDescent="0.2">
      <c r="A6" s="10"/>
      <c r="B6" s="10"/>
      <c r="C6" s="10"/>
      <c r="D6" s="10"/>
      <c r="E6" s="10"/>
      <c r="F6" s="10"/>
      <c r="G6" s="10"/>
      <c r="H6" s="10"/>
      <c r="I6" s="10"/>
      <c r="J6" s="10"/>
      <c r="K6" s="10"/>
      <c r="L6" s="10"/>
    </row>
    <row r="7" spans="1:12" x14ac:dyDescent="0.2">
      <c r="A7" s="10"/>
      <c r="B7" s="10"/>
      <c r="C7" s="10"/>
      <c r="D7" s="10"/>
      <c r="E7" s="10"/>
      <c r="F7" s="10"/>
      <c r="G7" s="10"/>
      <c r="H7" s="10"/>
      <c r="I7" s="10"/>
      <c r="J7" s="10"/>
      <c r="K7" s="10"/>
      <c r="L7" s="10"/>
    </row>
    <row r="8" spans="1:12" x14ac:dyDescent="0.2">
      <c r="A8" s="10"/>
      <c r="B8" s="10"/>
      <c r="C8" s="10"/>
      <c r="D8" s="10"/>
      <c r="E8" s="10"/>
      <c r="F8" s="10"/>
      <c r="G8" s="10"/>
      <c r="H8" s="10"/>
      <c r="I8" s="10"/>
      <c r="J8" s="10"/>
      <c r="K8" s="10"/>
      <c r="L8" s="10"/>
    </row>
    <row r="9" spans="1:12" x14ac:dyDescent="0.2">
      <c r="A9" s="10"/>
      <c r="B9" s="10"/>
      <c r="C9" s="10"/>
      <c r="D9" s="10"/>
      <c r="E9" s="10"/>
      <c r="F9" s="10"/>
      <c r="G9" s="10"/>
      <c r="H9" s="10"/>
      <c r="I9" s="10"/>
      <c r="J9" s="10"/>
      <c r="K9" s="10"/>
      <c r="L9" s="10"/>
    </row>
    <row r="10" spans="1:12" x14ac:dyDescent="0.2">
      <c r="A10" s="10"/>
      <c r="B10" s="10"/>
      <c r="C10" s="10"/>
      <c r="D10" s="10"/>
      <c r="E10" s="10"/>
      <c r="F10" s="10"/>
      <c r="G10" s="10"/>
      <c r="H10" s="10"/>
      <c r="I10" s="10"/>
      <c r="J10" s="10"/>
      <c r="K10" s="10"/>
      <c r="L10" s="10"/>
    </row>
    <row r="11" spans="1:12" x14ac:dyDescent="0.2">
      <c r="A11" s="10"/>
      <c r="B11" s="10"/>
      <c r="C11" s="10"/>
      <c r="D11" s="10"/>
      <c r="E11" s="10"/>
      <c r="F11" s="10"/>
      <c r="G11" s="10"/>
      <c r="H11" s="10"/>
      <c r="I11" s="10"/>
      <c r="J11" s="10"/>
      <c r="K11" s="10"/>
      <c r="L11" s="10"/>
    </row>
    <row r="12" spans="1:12" x14ac:dyDescent="0.2">
      <c r="A12" s="10"/>
      <c r="B12" s="10"/>
      <c r="C12" s="10"/>
      <c r="D12" s="10"/>
      <c r="E12" s="10"/>
      <c r="F12" s="10"/>
      <c r="G12" s="10"/>
      <c r="H12" s="10"/>
      <c r="I12" s="10"/>
      <c r="J12" s="10"/>
      <c r="K12" s="10"/>
      <c r="L12" s="10"/>
    </row>
    <row r="13" spans="1:12" x14ac:dyDescent="0.2">
      <c r="A13" s="10"/>
      <c r="B13" s="10"/>
      <c r="C13" s="10"/>
      <c r="D13" s="10"/>
      <c r="E13" s="10"/>
      <c r="F13" s="10"/>
      <c r="G13" s="10"/>
      <c r="H13" s="10"/>
      <c r="I13" s="10"/>
      <c r="J13" s="10"/>
      <c r="K13" s="10"/>
      <c r="L13" s="10"/>
    </row>
    <row r="14" spans="1:12" x14ac:dyDescent="0.2">
      <c r="A14" s="10"/>
      <c r="B14" s="10"/>
      <c r="C14" s="10"/>
      <c r="D14" s="10"/>
      <c r="E14" s="10"/>
      <c r="F14" s="10"/>
      <c r="G14" s="10"/>
      <c r="H14" s="10"/>
      <c r="I14" s="10"/>
      <c r="J14" s="10"/>
      <c r="K14" s="10"/>
      <c r="L14" s="10"/>
    </row>
    <row r="15" spans="1:12" x14ac:dyDescent="0.2">
      <c r="A15" s="10"/>
      <c r="B15" s="10"/>
      <c r="C15" s="10"/>
      <c r="D15" s="10"/>
      <c r="E15" s="10"/>
      <c r="F15" s="10"/>
      <c r="G15" s="10"/>
      <c r="H15" s="10"/>
      <c r="I15" s="10"/>
      <c r="J15" s="10"/>
      <c r="K15" s="10"/>
      <c r="L15" s="10"/>
    </row>
    <row r="16" spans="1:12" x14ac:dyDescent="0.2">
      <c r="A16" s="10"/>
      <c r="B16" s="10"/>
      <c r="C16" s="10"/>
      <c r="D16" s="10"/>
      <c r="E16" s="10"/>
      <c r="F16" s="10"/>
      <c r="G16" s="10"/>
      <c r="H16" s="10"/>
      <c r="I16" s="10"/>
      <c r="J16" s="10"/>
      <c r="K16" s="10"/>
      <c r="L16" s="10"/>
    </row>
    <row r="17" spans="1:12" x14ac:dyDescent="0.2">
      <c r="A17" s="10"/>
      <c r="B17" s="10"/>
      <c r="C17" s="10"/>
      <c r="D17" s="10"/>
      <c r="E17" s="10"/>
      <c r="F17" s="10"/>
      <c r="G17" s="10"/>
      <c r="H17" s="10"/>
      <c r="I17" s="10"/>
      <c r="J17" s="10"/>
      <c r="K17" s="10"/>
      <c r="L17" s="10"/>
    </row>
    <row r="18" spans="1:12" x14ac:dyDescent="0.2">
      <c r="A18" s="10"/>
      <c r="B18" s="10"/>
      <c r="C18" s="10"/>
      <c r="D18" s="10"/>
      <c r="E18" s="10"/>
      <c r="F18" s="10"/>
      <c r="G18" s="10"/>
      <c r="H18" s="10"/>
      <c r="I18" s="10"/>
      <c r="J18" s="10"/>
      <c r="K18" s="10"/>
      <c r="L18" s="10"/>
    </row>
    <row r="19" spans="1:12" x14ac:dyDescent="0.2">
      <c r="A19" s="10"/>
      <c r="B19" s="10"/>
      <c r="C19" s="10"/>
      <c r="D19" s="10"/>
      <c r="E19" s="10"/>
      <c r="F19" s="10"/>
      <c r="G19" s="10"/>
      <c r="H19" s="10"/>
      <c r="I19" s="10"/>
      <c r="J19" s="10"/>
      <c r="K19" s="10"/>
      <c r="L19" s="10"/>
    </row>
    <row r="20" spans="1:12" x14ac:dyDescent="0.2">
      <c r="A20" s="10"/>
      <c r="B20" s="10"/>
      <c r="C20" s="10"/>
      <c r="D20" s="10"/>
      <c r="E20" s="10"/>
      <c r="F20" s="10"/>
      <c r="G20" s="10"/>
      <c r="H20" s="10"/>
      <c r="I20" s="10"/>
      <c r="J20" s="10"/>
      <c r="K20" s="10"/>
      <c r="L20" s="10"/>
    </row>
    <row r="21" spans="1:12" x14ac:dyDescent="0.2">
      <c r="A21" s="10"/>
      <c r="B21" s="10"/>
      <c r="C21" s="10"/>
      <c r="D21" s="10"/>
      <c r="E21" s="10"/>
      <c r="F21" s="10"/>
      <c r="G21" s="10"/>
      <c r="H21" s="10"/>
      <c r="I21" s="10"/>
      <c r="J21" s="10"/>
      <c r="K21" s="10"/>
      <c r="L21" s="10"/>
    </row>
    <row r="22" spans="1:12" x14ac:dyDescent="0.2">
      <c r="A22" s="10"/>
      <c r="B22" s="10"/>
      <c r="C22" s="10"/>
      <c r="D22" s="10"/>
      <c r="E22" s="10"/>
      <c r="F22" s="10"/>
      <c r="G22" s="10"/>
      <c r="H22" s="10"/>
      <c r="I22" s="10"/>
      <c r="J22" s="10"/>
      <c r="K22" s="10"/>
      <c r="L22" s="10"/>
    </row>
    <row r="23" spans="1:12" x14ac:dyDescent="0.2">
      <c r="A23" s="10"/>
      <c r="B23" s="10"/>
      <c r="C23" s="10"/>
      <c r="D23" s="10"/>
      <c r="E23" s="10"/>
      <c r="F23" s="10"/>
      <c r="G23" s="10"/>
      <c r="H23" s="10"/>
      <c r="I23" s="10"/>
      <c r="J23" s="10"/>
      <c r="K23" s="10"/>
      <c r="L23" s="10"/>
    </row>
    <row r="24" spans="1:12" x14ac:dyDescent="0.2">
      <c r="A24" s="10"/>
      <c r="B24" s="10"/>
      <c r="C24" s="10"/>
      <c r="D24" s="10"/>
      <c r="E24" s="10"/>
      <c r="F24" s="10"/>
      <c r="G24" s="10"/>
      <c r="H24" s="10"/>
      <c r="I24" s="10"/>
      <c r="J24" s="10"/>
      <c r="K24" s="10"/>
      <c r="L24" s="10"/>
    </row>
    <row r="25" spans="1:12" x14ac:dyDescent="0.2">
      <c r="A25" s="10"/>
      <c r="B25" s="10"/>
      <c r="C25" s="10"/>
      <c r="D25" s="10"/>
      <c r="E25" s="10"/>
      <c r="F25" s="10"/>
      <c r="G25" s="10"/>
      <c r="H25" s="10"/>
      <c r="I25" s="10"/>
      <c r="J25" s="10"/>
      <c r="K25" s="10"/>
      <c r="L25" s="10"/>
    </row>
    <row r="26" spans="1:12" x14ac:dyDescent="0.2">
      <c r="A26" s="10"/>
      <c r="B26" s="10"/>
      <c r="C26" s="10"/>
      <c r="D26" s="10"/>
      <c r="E26" s="10"/>
      <c r="F26" s="10"/>
      <c r="G26" s="10"/>
      <c r="H26" s="10"/>
      <c r="I26" s="10"/>
      <c r="J26" s="10"/>
      <c r="K26" s="10"/>
      <c r="L26" s="10"/>
    </row>
  </sheetData>
  <sheetProtection sheet="1" objects="1" scenarios="1" selectLockedCells="1"/>
  <pageMargins left="0.7" right="0.7" top="0.75" bottom="0.75" header="0.3" footer="0.3"/>
  <pageSetup paperSize="9" scale="83"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I66"/>
  <sheetViews>
    <sheetView tabSelected="1" zoomScaleNormal="100" workbookViewId="0"/>
  </sheetViews>
  <sheetFormatPr baseColWidth="10" defaultColWidth="8.83203125" defaultRowHeight="15" x14ac:dyDescent="0.2"/>
  <cols>
    <col min="1" max="1" width="31.83203125" customWidth="1"/>
    <col min="2" max="2" width="19.6640625" customWidth="1"/>
    <col min="3" max="7" width="14.1640625" customWidth="1"/>
  </cols>
  <sheetData>
    <row r="1" spans="1:9" ht="16" x14ac:dyDescent="0.2">
      <c r="A1" s="17" t="s">
        <v>100</v>
      </c>
    </row>
    <row r="2" spans="1:9" x14ac:dyDescent="0.2">
      <c r="A2" s="1"/>
    </row>
    <row r="3" spans="1:9" x14ac:dyDescent="0.2">
      <c r="A3" s="1"/>
    </row>
    <row r="4" spans="1:9" x14ac:dyDescent="0.2">
      <c r="A4" s="16" t="s">
        <v>2</v>
      </c>
      <c r="B4" s="16"/>
      <c r="C4" s="16"/>
      <c r="D4" s="16"/>
      <c r="E4" s="16"/>
      <c r="F4" s="16"/>
      <c r="G4" s="16"/>
      <c r="H4" s="16"/>
      <c r="I4" s="16"/>
    </row>
    <row r="5" spans="1:9" ht="16" x14ac:dyDescent="0.2">
      <c r="A5" s="17" t="s">
        <v>101</v>
      </c>
    </row>
    <row r="6" spans="1:9" x14ac:dyDescent="0.2">
      <c r="A6" s="1" t="s">
        <v>102</v>
      </c>
      <c r="B6" s="1" t="s">
        <v>103</v>
      </c>
    </row>
    <row r="7" spans="1:9" x14ac:dyDescent="0.2">
      <c r="A7" s="45">
        <v>10</v>
      </c>
      <c r="B7" t="s">
        <v>1</v>
      </c>
    </row>
    <row r="8" spans="1:9" x14ac:dyDescent="0.2">
      <c r="A8" s="45">
        <v>7.5</v>
      </c>
      <c r="B8" t="s">
        <v>104</v>
      </c>
    </row>
    <row r="9" spans="1:9" x14ac:dyDescent="0.2">
      <c r="A9" s="45">
        <v>12</v>
      </c>
      <c r="B9" t="s">
        <v>105</v>
      </c>
    </row>
    <row r="10" spans="1:9" x14ac:dyDescent="0.2">
      <c r="A10" s="1" t="s">
        <v>106</v>
      </c>
    </row>
    <row r="11" spans="1:9" x14ac:dyDescent="0.2">
      <c r="A11" s="47">
        <v>2604320</v>
      </c>
      <c r="B11" t="s">
        <v>107</v>
      </c>
    </row>
    <row r="13" spans="1:9" ht="16" x14ac:dyDescent="0.2">
      <c r="A13" s="17" t="s">
        <v>108</v>
      </c>
    </row>
    <row r="14" spans="1:9" x14ac:dyDescent="0.2">
      <c r="A14" s="1" t="s">
        <v>93</v>
      </c>
      <c r="B14" s="1" t="s">
        <v>109</v>
      </c>
      <c r="C14" s="1" t="s">
        <v>103</v>
      </c>
    </row>
    <row r="15" spans="1:9" x14ac:dyDescent="0.2">
      <c r="A15" s="48">
        <v>10</v>
      </c>
      <c r="B15" s="44">
        <f>A15*$A$11</f>
        <v>26043200</v>
      </c>
      <c r="C15" t="s">
        <v>1</v>
      </c>
    </row>
    <row r="16" spans="1:9" x14ac:dyDescent="0.2">
      <c r="A16" s="48">
        <v>7.5</v>
      </c>
      <c r="B16" s="44">
        <f t="shared" ref="B16:B17" si="0">A16*$A$11</f>
        <v>19532400</v>
      </c>
      <c r="C16" t="s">
        <v>136</v>
      </c>
    </row>
    <row r="17" spans="1:9" x14ac:dyDescent="0.2">
      <c r="A17" s="48">
        <v>12</v>
      </c>
      <c r="B17" s="44">
        <f t="shared" si="0"/>
        <v>31251840</v>
      </c>
      <c r="C17" t="s">
        <v>137</v>
      </c>
    </row>
    <row r="19" spans="1:9" x14ac:dyDescent="0.2">
      <c r="A19" s="16" t="s">
        <v>5</v>
      </c>
      <c r="B19" s="16"/>
      <c r="C19" s="16"/>
      <c r="D19" s="16"/>
      <c r="E19" s="16"/>
      <c r="F19" s="16"/>
      <c r="G19" s="16"/>
      <c r="H19" s="16"/>
      <c r="I19" s="16"/>
    </row>
    <row r="20" spans="1:9" ht="16" x14ac:dyDescent="0.2">
      <c r="A20" s="17" t="s">
        <v>101</v>
      </c>
    </row>
    <row r="21" spans="1:9" x14ac:dyDescent="0.2">
      <c r="A21" s="1" t="s">
        <v>5</v>
      </c>
      <c r="B21" s="1" t="s">
        <v>103</v>
      </c>
    </row>
    <row r="22" spans="1:9" ht="16" thickBot="1" x14ac:dyDescent="0.25">
      <c r="A22" t="s">
        <v>111</v>
      </c>
      <c r="B22" t="s">
        <v>110</v>
      </c>
    </row>
    <row r="23" spans="1:9" ht="16" thickBot="1" x14ac:dyDescent="0.25">
      <c r="A23" s="5" t="s">
        <v>16</v>
      </c>
      <c r="B23" s="49" t="s">
        <v>17</v>
      </c>
      <c r="C23" s="49" t="s">
        <v>18</v>
      </c>
      <c r="D23" s="49" t="s">
        <v>19</v>
      </c>
      <c r="E23" s="49" t="s">
        <v>20</v>
      </c>
      <c r="F23" s="49" t="s">
        <v>21</v>
      </c>
      <c r="G23" s="50" t="s">
        <v>22</v>
      </c>
    </row>
    <row r="24" spans="1:9" ht="16" thickBot="1" x14ac:dyDescent="0.25">
      <c r="A24" s="11" t="s">
        <v>6</v>
      </c>
      <c r="B24" s="51">
        <v>2</v>
      </c>
      <c r="C24" s="52">
        <v>100</v>
      </c>
      <c r="D24" s="52">
        <v>200</v>
      </c>
      <c r="E24" s="52">
        <v>250</v>
      </c>
      <c r="F24" s="52">
        <v>280</v>
      </c>
      <c r="G24" s="53">
        <v>300</v>
      </c>
    </row>
    <row r="25" spans="1:9" ht="16" thickBot="1" x14ac:dyDescent="0.25">
      <c r="A25" s="12" t="s">
        <v>7</v>
      </c>
      <c r="B25" s="51">
        <v>2</v>
      </c>
      <c r="C25" s="54">
        <v>50</v>
      </c>
      <c r="D25" s="54">
        <v>100</v>
      </c>
      <c r="E25" s="54">
        <v>125</v>
      </c>
      <c r="F25" s="54">
        <v>140</v>
      </c>
      <c r="G25" s="55">
        <v>150</v>
      </c>
    </row>
    <row r="26" spans="1:9" x14ac:dyDescent="0.2">
      <c r="A26" s="1" t="s">
        <v>112</v>
      </c>
    </row>
    <row r="27" spans="1:9" x14ac:dyDescent="0.2">
      <c r="A27" s="56">
        <v>200</v>
      </c>
      <c r="B27" t="s">
        <v>113</v>
      </c>
    </row>
    <row r="28" spans="1:9" x14ac:dyDescent="0.2">
      <c r="A28" s="56">
        <v>100</v>
      </c>
      <c r="B28" t="s">
        <v>114</v>
      </c>
    </row>
    <row r="29" spans="1:9" x14ac:dyDescent="0.2">
      <c r="A29" s="56">
        <v>300</v>
      </c>
      <c r="B29" t="s">
        <v>117</v>
      </c>
    </row>
    <row r="30" spans="1:9" x14ac:dyDescent="0.2">
      <c r="A30" s="1" t="s">
        <v>90</v>
      </c>
    </row>
    <row r="31" spans="1:9" x14ac:dyDescent="0.2">
      <c r="A31" s="57">
        <v>0.09</v>
      </c>
      <c r="B31" t="s">
        <v>115</v>
      </c>
    </row>
    <row r="32" spans="1:9" x14ac:dyDescent="0.2">
      <c r="A32" s="57">
        <v>0.11</v>
      </c>
      <c r="B32" t="s">
        <v>116</v>
      </c>
    </row>
    <row r="34" spans="1:9" ht="17" thickBot="1" x14ac:dyDescent="0.25">
      <c r="A34" s="17" t="s">
        <v>108</v>
      </c>
    </row>
    <row r="35" spans="1:9" ht="16" thickBot="1" x14ac:dyDescent="0.25">
      <c r="A35" s="5" t="s">
        <v>118</v>
      </c>
      <c r="B35" s="49" t="s">
        <v>18</v>
      </c>
      <c r="C35" s="49" t="s">
        <v>19</v>
      </c>
      <c r="D35" s="49" t="s">
        <v>20</v>
      </c>
      <c r="E35" s="49" t="s">
        <v>21</v>
      </c>
      <c r="F35" s="50" t="s">
        <v>22</v>
      </c>
    </row>
    <row r="36" spans="1:9" ht="16" thickBot="1" x14ac:dyDescent="0.25">
      <c r="A36" s="11" t="s">
        <v>6</v>
      </c>
      <c r="B36" s="52">
        <f>$A$27*$B$24*C24</f>
        <v>40000</v>
      </c>
      <c r="C36" s="52">
        <f t="shared" ref="C36:F36" si="1">$A$27*$B$24*D24</f>
        <v>80000</v>
      </c>
      <c r="D36" s="52">
        <f t="shared" si="1"/>
        <v>100000</v>
      </c>
      <c r="E36" s="52">
        <f t="shared" si="1"/>
        <v>112000</v>
      </c>
      <c r="F36" s="52">
        <f t="shared" si="1"/>
        <v>120000</v>
      </c>
    </row>
    <row r="37" spans="1:9" ht="16" thickBot="1" x14ac:dyDescent="0.25">
      <c r="A37" s="12" t="s">
        <v>7</v>
      </c>
      <c r="B37" s="52">
        <f>$A$28*$B$25*C25</f>
        <v>10000</v>
      </c>
      <c r="C37" s="52">
        <f>$A$28*$B$25*D25</f>
        <v>20000</v>
      </c>
      <c r="D37" s="52">
        <f>$A$28*$B$25*E25</f>
        <v>25000</v>
      </c>
      <c r="E37" s="52">
        <f>$A$28*$B$25*F25</f>
        <v>28000</v>
      </c>
      <c r="F37" s="52">
        <f>$A$28*$B$25*G25</f>
        <v>30000</v>
      </c>
    </row>
    <row r="38" spans="1:9" ht="16" thickBot="1" x14ac:dyDescent="0.25"/>
    <row r="39" spans="1:9" ht="16" thickBot="1" x14ac:dyDescent="0.25">
      <c r="A39" s="5" t="s">
        <v>90</v>
      </c>
      <c r="B39" s="49" t="s">
        <v>18</v>
      </c>
      <c r="C39" s="49" t="s">
        <v>19</v>
      </c>
      <c r="D39" s="49" t="s">
        <v>20</v>
      </c>
      <c r="E39" s="49" t="s">
        <v>21</v>
      </c>
      <c r="F39" s="50" t="s">
        <v>22</v>
      </c>
    </row>
    <row r="40" spans="1:9" ht="16" thickBot="1" x14ac:dyDescent="0.25">
      <c r="A40" s="12" t="s">
        <v>91</v>
      </c>
      <c r="B40" s="52">
        <f>SUM(B36:B37)*$A$31</f>
        <v>4500</v>
      </c>
      <c r="C40" s="52">
        <f>SUM(C36:C37)*$A$31</f>
        <v>9000</v>
      </c>
      <c r="D40" s="52">
        <f>SUM(D36:D37)*$A$31</f>
        <v>11250</v>
      </c>
      <c r="E40" s="52">
        <f>SUM(E36:E37)*$A$31</f>
        <v>12600</v>
      </c>
      <c r="F40" s="52">
        <f>SUM(F36:F37)*$A$31</f>
        <v>13500</v>
      </c>
    </row>
    <row r="41" spans="1:9" ht="16" thickBot="1" x14ac:dyDescent="0.25">
      <c r="A41" s="11" t="s">
        <v>92</v>
      </c>
      <c r="B41" s="52">
        <f>SUM(B36:B37)*$A$32</f>
        <v>5500</v>
      </c>
      <c r="C41" s="52">
        <f>SUM(C36:C37)*$A$32</f>
        <v>11000</v>
      </c>
      <c r="D41" s="52">
        <f>SUM(D36:D37)*$A$32</f>
        <v>13750</v>
      </c>
      <c r="E41" s="52">
        <f>SUM(E36:E37)*$A$32</f>
        <v>15400</v>
      </c>
      <c r="F41" s="52">
        <f>SUM(F36:F37)*$A$32</f>
        <v>16500</v>
      </c>
    </row>
    <row r="43" spans="1:9" x14ac:dyDescent="0.2">
      <c r="A43" s="16" t="s">
        <v>9</v>
      </c>
      <c r="B43" s="16"/>
      <c r="C43" s="16"/>
      <c r="D43" s="16"/>
      <c r="E43" s="16"/>
      <c r="F43" s="16"/>
      <c r="G43" s="16"/>
      <c r="H43" s="16"/>
      <c r="I43" s="16"/>
    </row>
    <row r="44" spans="1:9" ht="16" x14ac:dyDescent="0.2">
      <c r="A44" s="17" t="s">
        <v>101</v>
      </c>
    </row>
    <row r="45" spans="1:9" x14ac:dyDescent="0.2">
      <c r="A45" s="83" t="s">
        <v>119</v>
      </c>
      <c r="B45" s="83" t="s">
        <v>103</v>
      </c>
      <c r="C45" s="84"/>
      <c r="D45" s="84"/>
      <c r="E45" s="84"/>
      <c r="F45" s="84"/>
      <c r="G45" s="84"/>
      <c r="H45" s="84"/>
      <c r="I45" s="84"/>
    </row>
    <row r="46" spans="1:9" x14ac:dyDescent="0.2">
      <c r="A46" s="56">
        <v>20000000</v>
      </c>
      <c r="B46" t="s">
        <v>121</v>
      </c>
    </row>
    <row r="47" spans="1:9" x14ac:dyDescent="0.2">
      <c r="A47" s="56">
        <v>15000000</v>
      </c>
      <c r="B47" t="s">
        <v>120</v>
      </c>
    </row>
    <row r="49" spans="1:9" x14ac:dyDescent="0.2">
      <c r="A49" s="16" t="s">
        <v>23</v>
      </c>
      <c r="B49" s="16"/>
      <c r="C49" s="16"/>
      <c r="D49" s="16"/>
      <c r="E49" s="16"/>
      <c r="F49" s="16"/>
      <c r="G49" s="16"/>
      <c r="H49" s="16"/>
      <c r="I49" s="16"/>
    </row>
    <row r="50" spans="1:9" ht="16" x14ac:dyDescent="0.2">
      <c r="A50" s="17" t="s">
        <v>101</v>
      </c>
    </row>
    <row r="51" spans="1:9" x14ac:dyDescent="0.2">
      <c r="A51" s="83" t="s">
        <v>24</v>
      </c>
      <c r="B51" s="83" t="s">
        <v>103</v>
      </c>
    </row>
    <row r="52" spans="1:9" x14ac:dyDescent="0.2">
      <c r="A52" s="47">
        <v>5</v>
      </c>
      <c r="B52" t="s">
        <v>1</v>
      </c>
    </row>
    <row r="53" spans="1:9" x14ac:dyDescent="0.2">
      <c r="A53" s="47">
        <v>10</v>
      </c>
      <c r="B53" t="s">
        <v>122</v>
      </c>
    </row>
    <row r="55" spans="1:9" ht="16" x14ac:dyDescent="0.2">
      <c r="A55" s="17" t="s">
        <v>108</v>
      </c>
    </row>
    <row r="56" spans="1:9" x14ac:dyDescent="0.2">
      <c r="A56" s="83" t="s">
        <v>24</v>
      </c>
      <c r="B56" s="83" t="s">
        <v>23</v>
      </c>
    </row>
    <row r="57" spans="1:9" x14ac:dyDescent="0.2">
      <c r="A57" s="47">
        <v>5</v>
      </c>
      <c r="B57" s="56">
        <f>'CapEx and Funding'!F14*0</f>
        <v>0</v>
      </c>
    </row>
    <row r="58" spans="1:9" x14ac:dyDescent="0.2">
      <c r="A58" s="47">
        <v>10</v>
      </c>
      <c r="B58" s="56">
        <f>'CapEx and Funding'!F14*5/A58*1000000</f>
        <v>80420000</v>
      </c>
    </row>
    <row r="60" spans="1:9" x14ac:dyDescent="0.2">
      <c r="A60" s="16" t="s">
        <v>128</v>
      </c>
      <c r="B60" s="16" t="s">
        <v>3</v>
      </c>
      <c r="C60" s="16"/>
      <c r="D60" s="16" t="s">
        <v>4</v>
      </c>
      <c r="E60" s="16" t="s">
        <v>8</v>
      </c>
      <c r="F60" s="16"/>
      <c r="G60" s="16"/>
      <c r="H60" s="16"/>
      <c r="I60" s="16"/>
    </row>
    <row r="61" spans="1:9" ht="16" x14ac:dyDescent="0.2">
      <c r="A61" s="17" t="s">
        <v>101</v>
      </c>
    </row>
    <row r="62" spans="1:9" x14ac:dyDescent="0.2">
      <c r="A62" s="1" t="s">
        <v>123</v>
      </c>
      <c r="B62" s="1" t="s">
        <v>103</v>
      </c>
    </row>
    <row r="63" spans="1:9" x14ac:dyDescent="0.2">
      <c r="A63" s="58">
        <f>'CapEx and Funding'!F14</f>
        <v>160.84</v>
      </c>
      <c r="B63" t="s">
        <v>124</v>
      </c>
    </row>
    <row r="64" spans="1:9" x14ac:dyDescent="0.2">
      <c r="A64" s="58">
        <f>'CapEx and Funding'!N3</f>
        <v>100.84</v>
      </c>
      <c r="B64" t="s">
        <v>125</v>
      </c>
    </row>
    <row r="65" spans="1:2" x14ac:dyDescent="0.2">
      <c r="A65" s="58">
        <f>'CapEx and Funding'!N4</f>
        <v>60</v>
      </c>
      <c r="B65" t="s">
        <v>126</v>
      </c>
    </row>
    <row r="66" spans="1:2" x14ac:dyDescent="0.2">
      <c r="A66" s="1" t="s">
        <v>25</v>
      </c>
      <c r="B66" t="s">
        <v>127</v>
      </c>
    </row>
  </sheetData>
  <pageMargins left="0.7" right="0.7" top="0.75" bottom="0.75" header="0.3" footer="0.3"/>
  <pageSetup paperSize="9" scale="53" fitToHeight="0" orientation="portrait" horizontalDpi="300" verticalDpi="300" r:id="rId1"/>
  <rowBreaks count="1" manualBreakCount="1">
    <brk id="67"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zoomScale="106" zoomScaleNormal="106" workbookViewId="0"/>
  </sheetViews>
  <sheetFormatPr baseColWidth="10" defaultColWidth="8.83203125" defaultRowHeight="15" x14ac:dyDescent="0.2"/>
  <cols>
    <col min="1" max="1" width="43.33203125" customWidth="1"/>
    <col min="2" max="6" width="9.5" customWidth="1"/>
    <col min="7" max="7" width="11.5" bestFit="1" customWidth="1"/>
    <col min="9" max="9" width="24.83203125" customWidth="1"/>
    <col min="10" max="15" width="9.6640625" customWidth="1"/>
  </cols>
  <sheetData>
    <row r="1" spans="1:15" ht="16" thickBot="1" x14ac:dyDescent="0.25">
      <c r="A1" s="1" t="s">
        <v>52</v>
      </c>
      <c r="B1" s="41" t="s">
        <v>45</v>
      </c>
      <c r="C1" s="41" t="s">
        <v>45</v>
      </c>
      <c r="D1" s="41" t="s">
        <v>45</v>
      </c>
      <c r="E1" s="41" t="s">
        <v>45</v>
      </c>
      <c r="F1" s="41" t="s">
        <v>45</v>
      </c>
      <c r="H1" s="8"/>
      <c r="I1" s="1" t="s">
        <v>53</v>
      </c>
      <c r="J1" s="41" t="s">
        <v>45</v>
      </c>
      <c r="K1" s="41" t="s">
        <v>45</v>
      </c>
      <c r="L1" s="41" t="s">
        <v>45</v>
      </c>
      <c r="M1" s="41" t="s">
        <v>45</v>
      </c>
      <c r="N1" s="41" t="s">
        <v>45</v>
      </c>
    </row>
    <row r="2" spans="1:15" ht="16" thickBot="1" x14ac:dyDescent="0.25">
      <c r="A2" s="5" t="s">
        <v>47</v>
      </c>
      <c r="B2" s="6" t="s">
        <v>51</v>
      </c>
      <c r="C2" s="6" t="s">
        <v>48</v>
      </c>
      <c r="D2" s="6" t="s">
        <v>49</v>
      </c>
      <c r="E2" s="6" t="s">
        <v>50</v>
      </c>
      <c r="F2" s="7" t="s">
        <v>27</v>
      </c>
      <c r="G2" t="s">
        <v>46</v>
      </c>
      <c r="H2" s="8"/>
      <c r="I2" s="5" t="s">
        <v>47</v>
      </c>
      <c r="J2" s="6" t="s">
        <v>51</v>
      </c>
      <c r="K2" s="6" t="s">
        <v>48</v>
      </c>
      <c r="L2" s="6" t="s">
        <v>49</v>
      </c>
      <c r="M2" s="6" t="s">
        <v>50</v>
      </c>
      <c r="N2" s="7" t="s">
        <v>27</v>
      </c>
      <c r="O2" s="7"/>
    </row>
    <row r="3" spans="1:15" ht="16" thickBot="1" x14ac:dyDescent="0.25">
      <c r="A3" s="3" t="s">
        <v>129</v>
      </c>
      <c r="B3" s="59">
        <v>38</v>
      </c>
      <c r="C3" s="59">
        <v>2</v>
      </c>
      <c r="D3" s="59">
        <v>0</v>
      </c>
      <c r="E3" s="59">
        <v>0</v>
      </c>
      <c r="F3" s="60">
        <v>40</v>
      </c>
      <c r="G3" s="45">
        <f>F3-C3-B3</f>
        <v>0</v>
      </c>
      <c r="H3" s="9"/>
      <c r="I3" t="s">
        <v>131</v>
      </c>
      <c r="J3" s="65">
        <f>B$14*$O$3</f>
        <v>76.927804028848541</v>
      </c>
      <c r="K3" s="65">
        <f>C$14*$O$3</f>
        <v>23.912195971151455</v>
      </c>
      <c r="L3" s="65">
        <f>D$14*$O$3</f>
        <v>0</v>
      </c>
      <c r="M3" s="65">
        <f>E$14*$O$3</f>
        <v>0</v>
      </c>
      <c r="N3" s="65">
        <v>100.84</v>
      </c>
      <c r="O3" s="66">
        <f>N3/(N3+N4)</f>
        <v>0.62695846804277544</v>
      </c>
    </row>
    <row r="4" spans="1:15" ht="16" thickBot="1" x14ac:dyDescent="0.25">
      <c r="A4" s="2" t="s">
        <v>36</v>
      </c>
      <c r="B4" s="61">
        <v>10</v>
      </c>
      <c r="C4" s="61">
        <v>0</v>
      </c>
      <c r="D4" s="61">
        <v>0</v>
      </c>
      <c r="E4" s="61">
        <v>0</v>
      </c>
      <c r="F4" s="62">
        <v>10</v>
      </c>
      <c r="G4" s="45">
        <f t="shared" ref="G4:G14" si="0">F4-C4-B4</f>
        <v>0</v>
      </c>
      <c r="H4" s="9"/>
      <c r="I4" s="10" t="s">
        <v>132</v>
      </c>
      <c r="J4" s="67">
        <f>B$14*$O$4</f>
        <v>45.772195971151454</v>
      </c>
      <c r="K4" s="67">
        <f>C$14*$O$4</f>
        <v>14.227804028848546</v>
      </c>
      <c r="L4" s="67">
        <f>D$14*$O$4</f>
        <v>0</v>
      </c>
      <c r="M4" s="67">
        <f>E$14*$O$4</f>
        <v>0</v>
      </c>
      <c r="N4" s="67">
        <v>60</v>
      </c>
      <c r="O4" s="66">
        <f>N4/(N3+N4)</f>
        <v>0.37304153195722456</v>
      </c>
    </row>
    <row r="5" spans="1:15" ht="16" thickBot="1" x14ac:dyDescent="0.25">
      <c r="A5" s="3" t="s">
        <v>37</v>
      </c>
      <c r="B5" s="59">
        <v>25</v>
      </c>
      <c r="C5" s="59">
        <v>15</v>
      </c>
      <c r="D5" s="59">
        <v>0</v>
      </c>
      <c r="E5" s="59">
        <v>0</v>
      </c>
      <c r="F5" s="60">
        <v>40</v>
      </c>
      <c r="G5" s="45">
        <f t="shared" si="0"/>
        <v>0</v>
      </c>
      <c r="H5" s="9"/>
      <c r="I5" s="85" t="s">
        <v>46</v>
      </c>
      <c r="J5" s="65">
        <f>J3+J4-B14</f>
        <v>0</v>
      </c>
      <c r="K5" s="65">
        <f t="shared" ref="K5:N5" si="1">K3+K4-C14</f>
        <v>0</v>
      </c>
      <c r="L5" s="65">
        <f t="shared" si="1"/>
        <v>0</v>
      </c>
      <c r="M5" s="65">
        <f t="shared" si="1"/>
        <v>0</v>
      </c>
      <c r="N5" s="65">
        <f t="shared" si="1"/>
        <v>0</v>
      </c>
      <c r="O5" s="68"/>
    </row>
    <row r="6" spans="1:15" ht="27" thickBot="1" x14ac:dyDescent="0.25">
      <c r="A6" s="2" t="s">
        <v>130</v>
      </c>
      <c r="B6" s="61">
        <v>10</v>
      </c>
      <c r="C6" s="61">
        <v>10</v>
      </c>
      <c r="D6" s="61">
        <v>0</v>
      </c>
      <c r="E6" s="61">
        <v>0</v>
      </c>
      <c r="F6" s="62">
        <v>20</v>
      </c>
      <c r="G6" s="45">
        <f t="shared" si="0"/>
        <v>0</v>
      </c>
      <c r="H6" s="9"/>
    </row>
    <row r="7" spans="1:15" ht="16" thickBot="1" x14ac:dyDescent="0.25">
      <c r="A7" s="3" t="s">
        <v>38</v>
      </c>
      <c r="B7" s="59">
        <v>12</v>
      </c>
      <c r="C7" s="59">
        <v>3</v>
      </c>
      <c r="D7" s="59">
        <v>0</v>
      </c>
      <c r="E7" s="59">
        <v>0</v>
      </c>
      <c r="F7" s="60">
        <v>15</v>
      </c>
      <c r="G7" s="45">
        <f t="shared" si="0"/>
        <v>0</v>
      </c>
      <c r="H7" s="9"/>
    </row>
    <row r="8" spans="1:15" ht="16" thickBot="1" x14ac:dyDescent="0.25">
      <c r="A8" s="2" t="s">
        <v>39</v>
      </c>
      <c r="B8" s="61">
        <v>10</v>
      </c>
      <c r="C8" s="61">
        <v>2</v>
      </c>
      <c r="D8" s="61">
        <v>0</v>
      </c>
      <c r="E8" s="61">
        <v>0</v>
      </c>
      <c r="F8" s="62">
        <v>12</v>
      </c>
      <c r="G8" s="45">
        <f t="shared" si="0"/>
        <v>0</v>
      </c>
      <c r="H8" s="9"/>
    </row>
    <row r="9" spans="1:15" ht="16" thickBot="1" x14ac:dyDescent="0.25">
      <c r="A9" s="3" t="s">
        <v>40</v>
      </c>
      <c r="B9" s="59">
        <v>3</v>
      </c>
      <c r="C9" s="59">
        <v>3</v>
      </c>
      <c r="D9" s="59">
        <v>0</v>
      </c>
      <c r="E9" s="59">
        <v>0</v>
      </c>
      <c r="F9" s="60">
        <v>6</v>
      </c>
      <c r="G9" s="45">
        <f t="shared" si="0"/>
        <v>0</v>
      </c>
      <c r="H9" s="9"/>
    </row>
    <row r="10" spans="1:15" ht="16" thickBot="1" x14ac:dyDescent="0.25">
      <c r="A10" s="2" t="s">
        <v>41</v>
      </c>
      <c r="B10" s="61">
        <v>3</v>
      </c>
      <c r="C10" s="61">
        <v>0</v>
      </c>
      <c r="D10" s="61">
        <v>0</v>
      </c>
      <c r="E10" s="61">
        <v>0</v>
      </c>
      <c r="F10" s="62">
        <v>3</v>
      </c>
      <c r="G10" s="45">
        <f t="shared" si="0"/>
        <v>0</v>
      </c>
      <c r="H10" s="9"/>
    </row>
    <row r="11" spans="1:15" ht="16" thickBot="1" x14ac:dyDescent="0.25">
      <c r="A11" s="3" t="s">
        <v>42</v>
      </c>
      <c r="B11" s="59">
        <v>0.7</v>
      </c>
      <c r="C11" s="59">
        <v>0.14000000000000001</v>
      </c>
      <c r="D11" s="59">
        <v>0</v>
      </c>
      <c r="E11" s="59">
        <v>0</v>
      </c>
      <c r="F11" s="60">
        <v>0.84</v>
      </c>
      <c r="G11" s="45">
        <f t="shared" si="0"/>
        <v>0</v>
      </c>
      <c r="H11" s="9"/>
    </row>
    <row r="12" spans="1:15" ht="16" thickBot="1" x14ac:dyDescent="0.25">
      <c r="A12" s="4" t="s">
        <v>43</v>
      </c>
      <c r="B12" s="63">
        <v>111.7</v>
      </c>
      <c r="C12" s="63">
        <v>35.14</v>
      </c>
      <c r="D12" s="61">
        <v>0</v>
      </c>
      <c r="E12" s="61">
        <v>0</v>
      </c>
      <c r="F12" s="64">
        <v>146.84</v>
      </c>
      <c r="G12" s="45">
        <f t="shared" si="0"/>
        <v>0</v>
      </c>
      <c r="H12" s="9"/>
    </row>
    <row r="13" spans="1:15" ht="16" thickBot="1" x14ac:dyDescent="0.25">
      <c r="A13" s="3" t="s">
        <v>44</v>
      </c>
      <c r="B13" s="59">
        <v>11</v>
      </c>
      <c r="C13" s="59">
        <v>3</v>
      </c>
      <c r="D13" s="59">
        <v>0</v>
      </c>
      <c r="E13" s="59">
        <v>0</v>
      </c>
      <c r="F13" s="60">
        <v>14</v>
      </c>
      <c r="G13" s="45">
        <f t="shared" si="0"/>
        <v>0</v>
      </c>
      <c r="H13" s="9"/>
    </row>
    <row r="14" spans="1:15" ht="16" thickBot="1" x14ac:dyDescent="0.25">
      <c r="A14" s="4" t="s">
        <v>86</v>
      </c>
      <c r="B14" s="63">
        <v>122.7</v>
      </c>
      <c r="C14" s="63">
        <v>38.14</v>
      </c>
      <c r="D14" s="61">
        <v>0</v>
      </c>
      <c r="E14" s="61">
        <v>0</v>
      </c>
      <c r="F14" s="64">
        <v>160.84</v>
      </c>
      <c r="G14" s="45">
        <f t="shared" si="0"/>
        <v>0</v>
      </c>
      <c r="H14" s="9"/>
    </row>
    <row r="15" spans="1:15" x14ac:dyDescent="0.2">
      <c r="B15" s="45"/>
      <c r="C15" s="45"/>
      <c r="D15" s="45"/>
      <c r="E15" s="45"/>
      <c r="F15" s="45"/>
      <c r="H15" s="8"/>
    </row>
    <row r="16" spans="1:15" x14ac:dyDescent="0.2">
      <c r="A16" t="s">
        <v>46</v>
      </c>
      <c r="B16" s="45">
        <f>SUM(B3:B11)-B12</f>
        <v>0</v>
      </c>
      <c r="C16" s="45">
        <f>SUM(C3:C11)-C12</f>
        <v>0</v>
      </c>
      <c r="D16" s="45"/>
      <c r="E16" s="45"/>
      <c r="F16" s="45">
        <f>SUM(F3:F11)-F12</f>
        <v>0</v>
      </c>
      <c r="H16" s="8"/>
    </row>
    <row r="17" spans="1:8" x14ac:dyDescent="0.2">
      <c r="A17" t="s">
        <v>46</v>
      </c>
      <c r="B17" s="45">
        <f>B14-B13-B12</f>
        <v>0</v>
      </c>
      <c r="C17" s="45">
        <f>C14-C13-C12</f>
        <v>0</v>
      </c>
      <c r="D17" s="45"/>
      <c r="E17" s="45"/>
      <c r="F17" s="45">
        <f>F14-F13-F12</f>
        <v>0</v>
      </c>
      <c r="H17" s="8"/>
    </row>
  </sheetData>
  <pageMargins left="0.70866141732283472" right="0.70866141732283472" top="0.74803149606299213" bottom="0.74803149606299213" header="0.31496062992125984" footer="0.31496062992125984"/>
  <pageSetup paperSize="9" scale="66"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5523-30E0-4658-824F-1293E18CE23C}">
  <sheetPr>
    <tabColor theme="4"/>
    <pageSetUpPr fitToPage="1"/>
  </sheetPr>
  <dimension ref="A1:S23"/>
  <sheetViews>
    <sheetView showGridLines="0" zoomScaleNormal="100" workbookViewId="0"/>
  </sheetViews>
  <sheetFormatPr baseColWidth="10" defaultColWidth="8.83203125" defaultRowHeight="15" x14ac:dyDescent="0.2"/>
  <cols>
    <col min="1" max="1" width="47.5" customWidth="1"/>
    <col min="2" max="2" width="2.1640625" customWidth="1"/>
    <col min="3" max="3" width="12.83203125" customWidth="1"/>
    <col min="4" max="8" width="12.5" customWidth="1"/>
    <col min="9" max="9" width="14.1640625" customWidth="1"/>
    <col min="11" max="11" width="48.83203125" customWidth="1"/>
    <col min="12" max="12" width="2.1640625" customWidth="1"/>
    <col min="13" max="19" width="13" customWidth="1"/>
  </cols>
  <sheetData>
    <row r="1" spans="1:19" x14ac:dyDescent="0.2">
      <c r="A1" s="18" t="s">
        <v>72</v>
      </c>
      <c r="B1" s="18"/>
      <c r="C1" s="18"/>
      <c r="D1" s="18"/>
      <c r="E1" s="18"/>
      <c r="F1" s="18"/>
      <c r="G1" s="18"/>
      <c r="H1" s="18"/>
      <c r="K1" s="1" t="s">
        <v>56</v>
      </c>
    </row>
    <row r="2" spans="1:19" x14ac:dyDescent="0.2">
      <c r="J2" s="41" t="s">
        <v>133</v>
      </c>
      <c r="K2" s="48">
        <v>10</v>
      </c>
      <c r="M2" s="42">
        <v>10</v>
      </c>
      <c r="N2" s="43">
        <v>7.5</v>
      </c>
      <c r="O2" s="43">
        <v>12</v>
      </c>
    </row>
    <row r="3" spans="1:19" x14ac:dyDescent="0.2">
      <c r="A3" s="19"/>
      <c r="J3" s="41" t="s">
        <v>31</v>
      </c>
      <c r="K3" s="37">
        <v>7.0000000000000007E-2</v>
      </c>
      <c r="M3" s="36">
        <v>7.0000000000000007E-2</v>
      </c>
      <c r="N3" s="36">
        <v>0.03</v>
      </c>
      <c r="O3" s="36">
        <v>0.1</v>
      </c>
    </row>
    <row r="4" spans="1:19" ht="16" x14ac:dyDescent="0.2">
      <c r="A4" s="19"/>
      <c r="C4" s="20" t="s">
        <v>73</v>
      </c>
      <c r="J4" s="41" t="s">
        <v>24</v>
      </c>
      <c r="K4" s="35">
        <v>5</v>
      </c>
      <c r="M4" s="22">
        <v>5</v>
      </c>
      <c r="N4" s="22">
        <v>10</v>
      </c>
      <c r="O4" s="22"/>
    </row>
    <row r="5" spans="1:19" x14ac:dyDescent="0.2">
      <c r="A5" s="21" t="s">
        <v>74</v>
      </c>
      <c r="C5" s="69">
        <f>I18</f>
        <v>163500.13715252851</v>
      </c>
    </row>
    <row r="6" spans="1:19" x14ac:dyDescent="0.2">
      <c r="A6" s="21" t="s">
        <v>76</v>
      </c>
      <c r="C6" s="69">
        <f>I23</f>
        <v>158344.8598130841</v>
      </c>
      <c r="K6" s="23" t="s">
        <v>75</v>
      </c>
      <c r="M6" s="22">
        <v>0</v>
      </c>
      <c r="N6" s="21">
        <f t="shared" ref="N6:R6" si="0">M6+1</f>
        <v>1</v>
      </c>
      <c r="O6" s="21">
        <f t="shared" si="0"/>
        <v>2</v>
      </c>
      <c r="P6" s="21">
        <f t="shared" si="0"/>
        <v>3</v>
      </c>
      <c r="Q6" s="21">
        <f t="shared" si="0"/>
        <v>4</v>
      </c>
      <c r="R6" s="21">
        <f t="shared" si="0"/>
        <v>5</v>
      </c>
    </row>
    <row r="7" spans="1:19" x14ac:dyDescent="0.2">
      <c r="A7" s="24" t="s">
        <v>78</v>
      </c>
      <c r="C7" s="25">
        <f>C5-C6</f>
        <v>5155.2773394444084</v>
      </c>
      <c r="K7" s="23" t="s">
        <v>77</v>
      </c>
      <c r="M7" s="38">
        <v>1</v>
      </c>
      <c r="N7" s="38">
        <f>1/(1+$K$3)^N6</f>
        <v>0.93457943925233644</v>
      </c>
      <c r="O7" s="38">
        <f t="shared" ref="O7:R7" si="1">1/(1+$K$3)^O6</f>
        <v>0.87343872827321156</v>
      </c>
      <c r="P7" s="38">
        <f t="shared" si="1"/>
        <v>0.81629787689085187</v>
      </c>
      <c r="Q7" s="38">
        <f t="shared" si="1"/>
        <v>0.7628952120475252</v>
      </c>
      <c r="R7" s="38">
        <f t="shared" si="1"/>
        <v>0.71298617948366838</v>
      </c>
    </row>
    <row r="8" spans="1:19" x14ac:dyDescent="0.2">
      <c r="A8" s="26" t="s">
        <v>79</v>
      </c>
      <c r="B8" s="1"/>
      <c r="C8" s="29">
        <f>C5/C6</f>
        <v>1.0325572762231112</v>
      </c>
    </row>
    <row r="9" spans="1:19" x14ac:dyDescent="0.2">
      <c r="A9" s="28" t="s">
        <v>80</v>
      </c>
      <c r="C9" s="29">
        <f>C7/I21</f>
        <v>5.1928920148008872E-2</v>
      </c>
    </row>
    <row r="11" spans="1:19" ht="16" x14ac:dyDescent="0.2">
      <c r="A11" s="17" t="s">
        <v>32</v>
      </c>
      <c r="K11" s="30" t="s">
        <v>10</v>
      </c>
    </row>
    <row r="12" spans="1:19" ht="16" x14ac:dyDescent="0.2">
      <c r="A12" s="17" t="s">
        <v>81</v>
      </c>
      <c r="C12" s="70" t="s">
        <v>94</v>
      </c>
      <c r="D12" s="71" t="s">
        <v>95</v>
      </c>
      <c r="E12" s="71" t="s">
        <v>96</v>
      </c>
      <c r="F12" s="71" t="s">
        <v>97</v>
      </c>
      <c r="G12" s="71" t="s">
        <v>98</v>
      </c>
      <c r="H12" s="71" t="s">
        <v>99</v>
      </c>
      <c r="I12" s="71" t="s">
        <v>27</v>
      </c>
      <c r="K12" s="17" t="s">
        <v>81</v>
      </c>
      <c r="M12" s="70" t="s">
        <v>94</v>
      </c>
      <c r="N12" s="71" t="s">
        <v>95</v>
      </c>
      <c r="O12" s="71" t="s">
        <v>96</v>
      </c>
      <c r="P12" s="71" t="s">
        <v>97</v>
      </c>
      <c r="Q12" s="71" t="s">
        <v>98</v>
      </c>
      <c r="R12" s="71" t="s">
        <v>99</v>
      </c>
      <c r="S12" s="71" t="s">
        <v>27</v>
      </c>
    </row>
    <row r="13" spans="1:19" x14ac:dyDescent="0.2">
      <c r="A13" s="21" t="s">
        <v>14</v>
      </c>
      <c r="C13" s="72">
        <f>M13*M$7</f>
        <v>26043.200000000001</v>
      </c>
      <c r="D13" s="72">
        <f t="shared" ref="D13:H13" si="2">N13*N$7</f>
        <v>0</v>
      </c>
      <c r="E13" s="72">
        <f t="shared" si="2"/>
        <v>0</v>
      </c>
      <c r="F13" s="72">
        <f t="shared" si="2"/>
        <v>0</v>
      </c>
      <c r="G13" s="72">
        <f t="shared" si="2"/>
        <v>0</v>
      </c>
      <c r="H13" s="72">
        <f t="shared" si="2"/>
        <v>0</v>
      </c>
      <c r="I13" s="87">
        <f>SUM(C13:H13)</f>
        <v>26043.200000000001</v>
      </c>
      <c r="K13" s="33" t="s">
        <v>14</v>
      </c>
      <c r="M13" s="74">
        <f>IF(K2=M2,'Economic Data and Calculations'!B15, IF(K2=N2, 'Economic Data and Calculations'!B16, 'Economic Data and Calculations'!B17))/1000</f>
        <v>26043.200000000001</v>
      </c>
      <c r="N13" s="74"/>
      <c r="O13" s="74"/>
      <c r="P13" s="74"/>
      <c r="Q13" s="74"/>
      <c r="R13" s="74"/>
      <c r="S13" s="86">
        <f>SUM(M13:R13)</f>
        <v>26043.200000000001</v>
      </c>
    </row>
    <row r="14" spans="1:19" x14ac:dyDescent="0.2">
      <c r="A14" s="21" t="s">
        <v>13</v>
      </c>
      <c r="C14" s="72">
        <f>M14*M$7</f>
        <v>0</v>
      </c>
      <c r="D14" s="72">
        <f t="shared" ref="D14:H15" si="3">N14*N$7</f>
        <v>4205.6074766355141</v>
      </c>
      <c r="E14" s="72">
        <f t="shared" si="3"/>
        <v>7860.9485544589043</v>
      </c>
      <c r="F14" s="72">
        <f t="shared" si="3"/>
        <v>9183.3511150220838</v>
      </c>
      <c r="G14" s="72">
        <f t="shared" si="3"/>
        <v>9612.4796717988174</v>
      </c>
      <c r="H14" s="72">
        <f>R14*R$7</f>
        <v>9625.3134230295236</v>
      </c>
      <c r="I14" s="87">
        <f>SUM(C14:H14)</f>
        <v>40487.70024094484</v>
      </c>
      <c r="K14" s="33" t="s">
        <v>13</v>
      </c>
      <c r="M14" s="74"/>
      <c r="N14" s="74">
        <f>'Economic Data and Calculations'!B40</f>
        <v>4500</v>
      </c>
      <c r="O14" s="74">
        <f>'Economic Data and Calculations'!C40</f>
        <v>9000</v>
      </c>
      <c r="P14" s="74">
        <f>'Economic Data and Calculations'!D40</f>
        <v>11250</v>
      </c>
      <c r="Q14" s="74">
        <f>'Economic Data and Calculations'!E40</f>
        <v>12600</v>
      </c>
      <c r="R14" s="74">
        <f>'Economic Data and Calculations'!F40</f>
        <v>13500</v>
      </c>
      <c r="S14" s="86">
        <f>SUM(M14:R14)</f>
        <v>50850</v>
      </c>
    </row>
    <row r="15" spans="1:19" x14ac:dyDescent="0.2">
      <c r="A15" s="21" t="s">
        <v>12</v>
      </c>
      <c r="C15" s="72">
        <f>M15*M$7</f>
        <v>0</v>
      </c>
      <c r="D15" s="72">
        <f t="shared" si="3"/>
        <v>5140.1869158878508</v>
      </c>
      <c r="E15" s="72">
        <f t="shared" si="3"/>
        <v>9607.826011005327</v>
      </c>
      <c r="F15" s="72">
        <f t="shared" si="3"/>
        <v>11224.095807249214</v>
      </c>
      <c r="G15" s="72">
        <f t="shared" si="3"/>
        <v>11748.586265531889</v>
      </c>
      <c r="H15" s="72">
        <f t="shared" si="3"/>
        <v>11764.271961480528</v>
      </c>
      <c r="I15" s="87">
        <f>SUM(C15:H15)</f>
        <v>49484.966961154802</v>
      </c>
      <c r="K15" s="33" t="s">
        <v>12</v>
      </c>
      <c r="M15" s="74"/>
      <c r="N15" s="74">
        <f>'Economic Data and Calculations'!B41</f>
        <v>5500</v>
      </c>
      <c r="O15" s="74">
        <f>'Economic Data and Calculations'!C41</f>
        <v>11000</v>
      </c>
      <c r="P15" s="74">
        <f>'Economic Data and Calculations'!D41</f>
        <v>13750</v>
      </c>
      <c r="Q15" s="74">
        <f>'Economic Data and Calculations'!E41</f>
        <v>15400</v>
      </c>
      <c r="R15" s="74">
        <f>'Economic Data and Calculations'!F41</f>
        <v>16500</v>
      </c>
      <c r="S15" s="86">
        <f>SUM(M15:R15)</f>
        <v>62150</v>
      </c>
    </row>
    <row r="16" spans="1:19" x14ac:dyDescent="0.2">
      <c r="A16" s="21" t="s">
        <v>9</v>
      </c>
      <c r="C16" s="72">
        <f t="shared" ref="C16:C17" si="4">M16*M$7</f>
        <v>0</v>
      </c>
      <c r="D16" s="72">
        <f t="shared" ref="D16:H17" si="5">N16*N$7</f>
        <v>0</v>
      </c>
      <c r="E16" s="72">
        <f t="shared" si="5"/>
        <v>13101.580924098173</v>
      </c>
      <c r="F16" s="72">
        <f t="shared" si="5"/>
        <v>12244.468153362777</v>
      </c>
      <c r="G16" s="72">
        <f t="shared" si="5"/>
        <v>11443.428180712877</v>
      </c>
      <c r="H16" s="72">
        <f t="shared" si="5"/>
        <v>10694.792692255025</v>
      </c>
      <c r="I16" s="87">
        <f t="shared" ref="I16:I17" si="6">SUM(C16:H16)</f>
        <v>47484.269950428854</v>
      </c>
      <c r="K16" s="33" t="s">
        <v>9</v>
      </c>
      <c r="M16" s="74"/>
      <c r="N16" s="74"/>
      <c r="O16" s="74">
        <f>'Economic Data and Calculations'!$A$47/1000</f>
        <v>15000</v>
      </c>
      <c r="P16" s="74">
        <f>'Economic Data and Calculations'!$A$47/1000</f>
        <v>15000</v>
      </c>
      <c r="Q16" s="74">
        <f>'Economic Data and Calculations'!$A$47/1000</f>
        <v>15000</v>
      </c>
      <c r="R16" s="74">
        <f>'Economic Data and Calculations'!$A$47/1000</f>
        <v>15000</v>
      </c>
      <c r="S16" s="86">
        <f t="shared" ref="S16:S17" si="7">SUM(M16:R16)</f>
        <v>60000</v>
      </c>
    </row>
    <row r="17" spans="1:19" x14ac:dyDescent="0.2">
      <c r="A17" s="21" t="s">
        <v>15</v>
      </c>
      <c r="C17" s="72">
        <f t="shared" si="4"/>
        <v>0</v>
      </c>
      <c r="D17" s="72">
        <f t="shared" si="5"/>
        <v>0</v>
      </c>
      <c r="E17" s="72">
        <f t="shared" si="5"/>
        <v>0</v>
      </c>
      <c r="F17" s="72">
        <f t="shared" si="5"/>
        <v>0</v>
      </c>
      <c r="G17" s="72">
        <f t="shared" si="5"/>
        <v>0</v>
      </c>
      <c r="H17" s="72">
        <f t="shared" si="5"/>
        <v>0</v>
      </c>
      <c r="I17" s="87">
        <f t="shared" si="6"/>
        <v>0</v>
      </c>
      <c r="K17" s="33" t="s">
        <v>15</v>
      </c>
      <c r="M17" s="74"/>
      <c r="N17" s="74"/>
      <c r="O17" s="74"/>
      <c r="P17" s="74"/>
      <c r="Q17" s="74"/>
      <c r="R17" s="74">
        <f>IF(K4=M4,'Economic Data and Calculations'!B57,'Economic Data and Calculations'!B58)/1000</f>
        <v>0</v>
      </c>
      <c r="S17" s="86">
        <f t="shared" si="7"/>
        <v>0</v>
      </c>
    </row>
    <row r="18" spans="1:19" x14ac:dyDescent="0.2">
      <c r="A18" s="34" t="s">
        <v>26</v>
      </c>
      <c r="C18" s="73">
        <f t="shared" ref="C18:H18" si="8">SUM(C13:C17)</f>
        <v>26043.200000000001</v>
      </c>
      <c r="D18" s="73">
        <f t="shared" si="8"/>
        <v>9345.7943925233649</v>
      </c>
      <c r="E18" s="73">
        <f t="shared" si="8"/>
        <v>30570.355489562404</v>
      </c>
      <c r="F18" s="73">
        <f t="shared" si="8"/>
        <v>32651.915075634075</v>
      </c>
      <c r="G18" s="73">
        <f t="shared" si="8"/>
        <v>32804.494118043585</v>
      </c>
      <c r="H18" s="73">
        <f t="shared" si="8"/>
        <v>32084.378076765075</v>
      </c>
      <c r="I18" s="73">
        <f>SUM(I13:I17)</f>
        <v>163500.13715252851</v>
      </c>
      <c r="K18" s="34" t="s">
        <v>26</v>
      </c>
      <c r="M18" s="73">
        <f t="shared" ref="M18:R18" si="9">SUM(M13:M17)</f>
        <v>26043.200000000001</v>
      </c>
      <c r="N18" s="73">
        <f t="shared" si="9"/>
        <v>10000</v>
      </c>
      <c r="O18" s="73">
        <f t="shared" si="9"/>
        <v>35000</v>
      </c>
      <c r="P18" s="73">
        <f t="shared" si="9"/>
        <v>40000</v>
      </c>
      <c r="Q18" s="73">
        <f t="shared" si="9"/>
        <v>43000</v>
      </c>
      <c r="R18" s="73">
        <f t="shared" si="9"/>
        <v>45000</v>
      </c>
      <c r="S18" s="73">
        <f>SUM(M18:R18)</f>
        <v>199043.20000000001</v>
      </c>
    </row>
    <row r="20" spans="1:19" ht="16" x14ac:dyDescent="0.2">
      <c r="A20" s="17" t="s">
        <v>82</v>
      </c>
      <c r="C20" s="31" t="s">
        <v>94</v>
      </c>
      <c r="D20" s="32" t="s">
        <v>95</v>
      </c>
      <c r="E20" s="32" t="s">
        <v>96</v>
      </c>
      <c r="F20" s="32" t="s">
        <v>97</v>
      </c>
      <c r="G20" s="32" t="s">
        <v>98</v>
      </c>
      <c r="H20" s="32" t="s">
        <v>99</v>
      </c>
      <c r="I20" s="32" t="s">
        <v>27</v>
      </c>
      <c r="K20" s="17" t="s">
        <v>82</v>
      </c>
      <c r="M20" s="70" t="s">
        <v>94</v>
      </c>
      <c r="N20" s="71" t="s">
        <v>95</v>
      </c>
      <c r="O20" s="71" t="s">
        <v>96</v>
      </c>
      <c r="P20" s="71" t="s">
        <v>97</v>
      </c>
      <c r="Q20" s="71" t="s">
        <v>98</v>
      </c>
      <c r="R20" s="71" t="s">
        <v>99</v>
      </c>
      <c r="S20" s="71" t="s">
        <v>27</v>
      </c>
    </row>
    <row r="21" spans="1:19" x14ac:dyDescent="0.2">
      <c r="A21" s="21" t="s">
        <v>28</v>
      </c>
      <c r="C21" s="72">
        <f>M21*M$7</f>
        <v>76927.804028848535</v>
      </c>
      <c r="D21" s="72">
        <f t="shared" ref="D21:H22" si="10">N21*N$7</f>
        <v>22347.846702010705</v>
      </c>
      <c r="E21" s="72">
        <f t="shared" si="10"/>
        <v>0</v>
      </c>
      <c r="F21" s="72">
        <f t="shared" si="10"/>
        <v>0</v>
      </c>
      <c r="G21" s="72">
        <f t="shared" si="10"/>
        <v>0</v>
      </c>
      <c r="H21" s="72">
        <f t="shared" si="10"/>
        <v>0</v>
      </c>
      <c r="I21" s="87">
        <f>SUM(C21:H21)</f>
        <v>99275.650730859241</v>
      </c>
      <c r="K21" s="33" t="s">
        <v>28</v>
      </c>
      <c r="M21" s="74">
        <f>'CapEx and Funding'!J3*1000</f>
        <v>76927.804028848535</v>
      </c>
      <c r="N21" s="74">
        <f>'CapEx and Funding'!K3*1000</f>
        <v>23912.195971151454</v>
      </c>
      <c r="O21" s="74"/>
      <c r="P21" s="74"/>
      <c r="Q21" s="74"/>
      <c r="R21" s="74"/>
      <c r="S21" s="86">
        <f>SUM(M21:R21)</f>
        <v>100839.99999999999</v>
      </c>
    </row>
    <row r="22" spans="1:19" x14ac:dyDescent="0.2">
      <c r="A22" s="21" t="s">
        <v>29</v>
      </c>
      <c r="C22" s="72">
        <f>M22*M$7</f>
        <v>45772.195971151457</v>
      </c>
      <c r="D22" s="72">
        <f t="shared" si="10"/>
        <v>13297.013111073407</v>
      </c>
      <c r="E22" s="72">
        <f t="shared" si="10"/>
        <v>0</v>
      </c>
      <c r="F22" s="72">
        <f t="shared" si="10"/>
        <v>0</v>
      </c>
      <c r="G22" s="72">
        <f t="shared" si="10"/>
        <v>0</v>
      </c>
      <c r="H22" s="72">
        <f t="shared" si="10"/>
        <v>0</v>
      </c>
      <c r="I22" s="87">
        <f>SUM(C22:H22)</f>
        <v>59069.209082224865</v>
      </c>
      <c r="K22" s="33" t="s">
        <v>29</v>
      </c>
      <c r="M22" s="74">
        <f>'CapEx and Funding'!J4*1000</f>
        <v>45772.195971151457</v>
      </c>
      <c r="N22" s="74">
        <f>'CapEx and Funding'!K4*1000</f>
        <v>14227.804028848546</v>
      </c>
      <c r="O22" s="74"/>
      <c r="P22" s="74"/>
      <c r="Q22" s="74"/>
      <c r="R22" s="74"/>
      <c r="S22" s="86">
        <f>SUM(M22:R22)</f>
        <v>60000</v>
      </c>
    </row>
    <row r="23" spans="1:19" x14ac:dyDescent="0.2">
      <c r="A23" s="34" t="s">
        <v>30</v>
      </c>
      <c r="C23" s="73">
        <f>SUM(C21:C22)</f>
        <v>122700</v>
      </c>
      <c r="D23" s="73">
        <f t="shared" ref="D23:I23" si="11">SUM(D21:D22)</f>
        <v>35644.859813084113</v>
      </c>
      <c r="E23" s="73">
        <f>SUM(E21:E22)</f>
        <v>0</v>
      </c>
      <c r="F23" s="73">
        <f t="shared" si="11"/>
        <v>0</v>
      </c>
      <c r="G23" s="73">
        <f t="shared" si="11"/>
        <v>0</v>
      </c>
      <c r="H23" s="73">
        <f t="shared" si="11"/>
        <v>0</v>
      </c>
      <c r="I23" s="73">
        <f t="shared" si="11"/>
        <v>158344.8598130841</v>
      </c>
      <c r="K23" s="34" t="s">
        <v>30</v>
      </c>
      <c r="M23" s="73">
        <f>SUM(M21:M22)</f>
        <v>122700</v>
      </c>
      <c r="N23" s="73">
        <f t="shared" ref="N23:S23" si="12">SUM(N21:N22)</f>
        <v>38140</v>
      </c>
      <c r="O23" s="73">
        <f>SUM(O21:O22)</f>
        <v>0</v>
      </c>
      <c r="P23" s="73">
        <f t="shared" si="12"/>
        <v>0</v>
      </c>
      <c r="Q23" s="73">
        <f t="shared" si="12"/>
        <v>0</v>
      </c>
      <c r="R23" s="73">
        <f t="shared" si="12"/>
        <v>0</v>
      </c>
      <c r="S23" s="73">
        <f t="shared" si="12"/>
        <v>160840</v>
      </c>
    </row>
  </sheetData>
  <dataValidations count="3">
    <dataValidation type="list" allowBlank="1" showInputMessage="1" showErrorMessage="1" sqref="K4" xr:uid="{2C20B255-3E4E-48C8-9D07-5135DDD57CF6}">
      <formula1>$M$4:$N$4</formula1>
    </dataValidation>
    <dataValidation type="list" allowBlank="1" showInputMessage="1" showErrorMessage="1" sqref="K3" xr:uid="{9CDC8C75-34E3-4B3F-9539-34FEC8451E65}">
      <formula1>$M$3:$O$3</formula1>
    </dataValidation>
    <dataValidation type="list" allowBlank="1" showInputMessage="1" showErrorMessage="1" sqref="K2" xr:uid="{A68F36A2-AD5A-4699-B7EF-2F3F9E3A6B18}">
      <formula1>$M$2:$O$2</formula1>
    </dataValidation>
  </dataValidations>
  <pageMargins left="0.70866141732283472" right="0.70866141732283472" top="0.74803149606299213" bottom="0.74803149606299213" header="0.31496062992125984" footer="0.31496062992125984"/>
  <pageSetup paperSize="9" scale="44" orientation="landscape" horizontalDpi="300" verticalDpi="300" r:id="rId1"/>
  <ignoredErrors>
    <ignoredError sqref="O23:R2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tabColor theme="9"/>
    <pageSetUpPr fitToPage="1"/>
  </sheetPr>
  <dimension ref="A1:U37"/>
  <sheetViews>
    <sheetView showGridLines="0" zoomScaleNormal="100" workbookViewId="0"/>
  </sheetViews>
  <sheetFormatPr baseColWidth="10" defaultColWidth="8.83203125" defaultRowHeight="15" x14ac:dyDescent="0.2"/>
  <cols>
    <col min="1" max="1" width="8.83203125" style="15" customWidth="1"/>
    <col min="2" max="2" width="12" customWidth="1"/>
    <col min="3" max="3" width="18.5" customWidth="1"/>
    <col min="4" max="6" width="14.5" customWidth="1"/>
    <col min="10" max="10" width="23.6640625" customWidth="1"/>
    <col min="11" max="11" width="16.33203125" customWidth="1"/>
  </cols>
  <sheetData>
    <row r="1" spans="1:19" x14ac:dyDescent="0.2">
      <c r="A1" s="14" t="s">
        <v>54</v>
      </c>
    </row>
    <row r="2" spans="1:19" x14ac:dyDescent="0.2">
      <c r="A2" s="15" t="s">
        <v>69</v>
      </c>
    </row>
    <row r="4" spans="1:19" x14ac:dyDescent="0.2">
      <c r="A4" s="15" t="s">
        <v>89</v>
      </c>
    </row>
    <row r="5" spans="1:19" x14ac:dyDescent="0.2">
      <c r="C5" s="76" t="s">
        <v>55</v>
      </c>
      <c r="E5" s="1" t="s">
        <v>67</v>
      </c>
    </row>
    <row r="6" spans="1:19" x14ac:dyDescent="0.2">
      <c r="B6" s="1" t="s">
        <v>33</v>
      </c>
      <c r="C6" s="25">
        <v>5155.2773394444084</v>
      </c>
      <c r="E6" t="s">
        <v>68</v>
      </c>
    </row>
    <row r="7" spans="1:19" x14ac:dyDescent="0.2">
      <c r="B7" s="1" t="s">
        <v>34</v>
      </c>
      <c r="C7" s="27">
        <v>1.0325572762231112</v>
      </c>
      <c r="E7" t="s">
        <v>134</v>
      </c>
    </row>
    <row r="8" spans="1:19" x14ac:dyDescent="0.2">
      <c r="B8" s="1" t="s">
        <v>35</v>
      </c>
      <c r="C8" s="29">
        <v>5.1928920148008872E-2</v>
      </c>
      <c r="E8" t="s">
        <v>142</v>
      </c>
    </row>
    <row r="10" spans="1:19" ht="32.25" customHeight="1" x14ac:dyDescent="0.2">
      <c r="A10" s="15" t="s">
        <v>87</v>
      </c>
      <c r="H10" s="1"/>
      <c r="K10" s="1" t="s">
        <v>70</v>
      </c>
    </row>
    <row r="11" spans="1:19" x14ac:dyDescent="0.2">
      <c r="B11" s="1" t="s">
        <v>61</v>
      </c>
      <c r="C11" s="75" t="s">
        <v>31</v>
      </c>
      <c r="D11" s="77">
        <f>'Cost-Benefit Analysis'!N3</f>
        <v>0.03</v>
      </c>
      <c r="E11" s="77">
        <f>'Cost-Benefit Analysis'!M3</f>
        <v>7.0000000000000007E-2</v>
      </c>
      <c r="F11" s="77">
        <f>'Cost-Benefit Analysis'!O3</f>
        <v>0.1</v>
      </c>
      <c r="H11" s="10" t="s">
        <v>71</v>
      </c>
      <c r="I11" s="10"/>
      <c r="J11" s="10"/>
      <c r="K11" s="10"/>
      <c r="L11" s="10"/>
      <c r="M11" s="10"/>
      <c r="N11" s="10"/>
      <c r="O11" s="10"/>
      <c r="P11" s="10"/>
      <c r="Q11" s="10"/>
      <c r="R11" s="10"/>
      <c r="S11" s="10"/>
    </row>
    <row r="12" spans="1:19" x14ac:dyDescent="0.2">
      <c r="C12" s="1" t="s">
        <v>33</v>
      </c>
      <c r="D12" s="40">
        <v>22641.673201955244</v>
      </c>
      <c r="E12" s="40">
        <v>5155.2773394444084</v>
      </c>
      <c r="F12" s="40">
        <v>-5949.3681926843419</v>
      </c>
    </row>
    <row r="13" spans="1:19" x14ac:dyDescent="0.2">
      <c r="C13" s="1" t="s">
        <v>34</v>
      </c>
      <c r="D13" s="39">
        <v>1.1417504354946415</v>
      </c>
      <c r="E13" s="39">
        <v>1.0325572762231112</v>
      </c>
      <c r="F13" s="39">
        <v>0.96219568475563066</v>
      </c>
    </row>
    <row r="14" spans="1:19" x14ac:dyDescent="0.2">
      <c r="C14" s="1" t="s">
        <v>35</v>
      </c>
      <c r="D14" s="39">
        <v>0.22609222575325397</v>
      </c>
      <c r="E14" s="39">
        <v>5.1928920148008872E-2</v>
      </c>
      <c r="F14" s="39">
        <v>-6.0297957793577599E-2</v>
      </c>
    </row>
    <row r="16" spans="1:19" x14ac:dyDescent="0.2">
      <c r="C16" s="75" t="s">
        <v>57</v>
      </c>
      <c r="D16" s="89">
        <f>'Cost-Benefit Analysis'!N2</f>
        <v>7.5</v>
      </c>
      <c r="E16" s="89">
        <f>'Cost-Benefit Analysis'!M2</f>
        <v>10</v>
      </c>
      <c r="F16" s="89">
        <f>'Cost-Benefit Analysis'!O2</f>
        <v>12</v>
      </c>
      <c r="H16" s="10" t="s">
        <v>135</v>
      </c>
      <c r="I16" s="10"/>
      <c r="J16" s="10"/>
      <c r="K16" s="10"/>
      <c r="L16" s="10"/>
      <c r="M16" s="10"/>
      <c r="N16" s="10"/>
      <c r="O16" s="10"/>
      <c r="P16" s="10"/>
      <c r="Q16" s="10"/>
      <c r="R16" s="10"/>
      <c r="S16" s="10"/>
    </row>
    <row r="17" spans="1:21" x14ac:dyDescent="0.2">
      <c r="C17" s="1" t="s">
        <v>33</v>
      </c>
      <c r="D17" s="40">
        <v>-1355.522660555609</v>
      </c>
      <c r="E17" s="40">
        <v>5155.2773394444084</v>
      </c>
      <c r="F17" s="40">
        <v>10363.917339444393</v>
      </c>
      <c r="H17" s="10" t="s">
        <v>83</v>
      </c>
      <c r="I17" s="10"/>
      <c r="J17" s="10"/>
      <c r="K17" s="10"/>
      <c r="L17" s="10"/>
      <c r="M17" s="10"/>
      <c r="N17" s="10"/>
      <c r="O17" s="10"/>
      <c r="P17" s="10"/>
      <c r="Q17" s="10"/>
      <c r="R17" s="10"/>
      <c r="S17" s="10"/>
    </row>
    <row r="18" spans="1:21" x14ac:dyDescent="0.2">
      <c r="C18" s="1" t="s">
        <v>34</v>
      </c>
      <c r="D18" s="13">
        <v>0.99143942744869828</v>
      </c>
      <c r="E18" s="39">
        <v>1.0325572762231112</v>
      </c>
      <c r="F18" s="13">
        <v>1.0654515552426416</v>
      </c>
      <c r="H18" s="10" t="s">
        <v>84</v>
      </c>
      <c r="I18" s="10"/>
      <c r="J18" s="10"/>
      <c r="K18" s="10"/>
      <c r="L18" s="10"/>
      <c r="M18" s="10"/>
      <c r="N18" s="10"/>
      <c r="O18" s="10"/>
      <c r="P18" s="10"/>
      <c r="Q18" s="10"/>
      <c r="R18" s="10"/>
      <c r="S18" s="10"/>
    </row>
    <row r="19" spans="1:21" x14ac:dyDescent="0.2">
      <c r="C19" s="1" t="s">
        <v>35</v>
      </c>
      <c r="D19" s="13">
        <v>-1.3654130197851758E-2</v>
      </c>
      <c r="E19" s="39">
        <v>5.1928920148008872E-2</v>
      </c>
      <c r="F19" s="13">
        <v>0.10439536042469709</v>
      </c>
      <c r="H19" s="10" t="s">
        <v>85</v>
      </c>
      <c r="I19" s="10"/>
      <c r="J19" s="10"/>
      <c r="K19" s="10"/>
      <c r="L19" s="10"/>
      <c r="M19" s="10"/>
      <c r="N19" s="10"/>
      <c r="O19" s="10"/>
      <c r="P19" s="10"/>
      <c r="Q19" s="10"/>
      <c r="R19" s="10"/>
      <c r="S19" s="10"/>
    </row>
    <row r="21" spans="1:21" x14ac:dyDescent="0.2">
      <c r="C21" s="75" t="s">
        <v>60</v>
      </c>
      <c r="D21" s="78" t="s">
        <v>62</v>
      </c>
      <c r="E21" s="78" t="s">
        <v>63</v>
      </c>
      <c r="F21" s="75"/>
      <c r="H21" s="10" t="s">
        <v>138</v>
      </c>
      <c r="I21" s="10"/>
      <c r="J21" s="10"/>
      <c r="K21" s="10"/>
      <c r="L21" s="10"/>
      <c r="M21" s="10"/>
      <c r="N21" s="10"/>
      <c r="O21" s="10"/>
      <c r="P21" s="10"/>
      <c r="Q21" s="10"/>
      <c r="R21" s="10"/>
      <c r="S21" s="10"/>
    </row>
    <row r="22" spans="1:21" x14ac:dyDescent="0.2">
      <c r="C22" s="1" t="s">
        <v>33</v>
      </c>
      <c r="D22" s="40">
        <v>5155.2773394444084</v>
      </c>
      <c r="E22" s="40">
        <v>62493.625893521035</v>
      </c>
    </row>
    <row r="23" spans="1:21" x14ac:dyDescent="0.2">
      <c r="C23" s="1" t="s">
        <v>34</v>
      </c>
      <c r="D23" s="39">
        <v>1.0325572762231112</v>
      </c>
      <c r="E23" s="13">
        <v>1.3946678532368575</v>
      </c>
    </row>
    <row r="24" spans="1:21" x14ac:dyDescent="0.2">
      <c r="C24" s="1" t="s">
        <v>35</v>
      </c>
      <c r="D24" s="39">
        <v>5.1928920148008872E-2</v>
      </c>
      <c r="E24" s="13">
        <v>0.62949600867330568</v>
      </c>
    </row>
    <row r="26" spans="1:21" x14ac:dyDescent="0.2">
      <c r="A26" s="15" t="s">
        <v>88</v>
      </c>
    </row>
    <row r="27" spans="1:21" x14ac:dyDescent="0.2">
      <c r="C27" s="79" t="s">
        <v>11</v>
      </c>
      <c r="D27" s="88" t="s">
        <v>55</v>
      </c>
      <c r="E27" s="80"/>
      <c r="F27" s="80"/>
      <c r="G27" s="80"/>
      <c r="H27" s="80"/>
      <c r="I27" s="80"/>
      <c r="J27" s="80"/>
      <c r="K27" s="79"/>
      <c r="L27" s="79"/>
      <c r="M27" s="80"/>
      <c r="N27" s="80"/>
      <c r="O27" s="80"/>
      <c r="P27" s="80"/>
      <c r="Q27" s="80"/>
      <c r="R27" s="80"/>
      <c r="S27" s="80"/>
      <c r="T27" s="80"/>
      <c r="U27" s="80"/>
    </row>
    <row r="28" spans="1:21" x14ac:dyDescent="0.2">
      <c r="D28" s="46">
        <v>26043.200000000001</v>
      </c>
      <c r="E28" t="s">
        <v>141</v>
      </c>
      <c r="K28" s="40"/>
    </row>
    <row r="29" spans="1:21" x14ac:dyDescent="0.2">
      <c r="D29" s="46">
        <v>40487.70024094484</v>
      </c>
      <c r="E29" t="s">
        <v>59</v>
      </c>
      <c r="K29" s="40"/>
    </row>
    <row r="30" spans="1:21" x14ac:dyDescent="0.2">
      <c r="D30" s="46">
        <v>49484.966961154802</v>
      </c>
      <c r="E30" t="s">
        <v>58</v>
      </c>
      <c r="K30" s="40"/>
    </row>
    <row r="31" spans="1:21" x14ac:dyDescent="0.2">
      <c r="D31" s="46">
        <v>47484.269950428854</v>
      </c>
      <c r="E31" t="s">
        <v>139</v>
      </c>
      <c r="K31" s="40"/>
    </row>
    <row r="32" spans="1:21" x14ac:dyDescent="0.2">
      <c r="D32" s="46">
        <v>0</v>
      </c>
      <c r="E32" t="s">
        <v>140</v>
      </c>
      <c r="K32" s="40"/>
    </row>
    <row r="34" spans="3:21" x14ac:dyDescent="0.2">
      <c r="C34" s="81" t="s">
        <v>0</v>
      </c>
      <c r="D34" s="82"/>
      <c r="E34" s="82"/>
      <c r="F34" s="82"/>
      <c r="G34" s="82"/>
      <c r="H34" s="82"/>
      <c r="I34" s="82"/>
      <c r="J34" s="82"/>
      <c r="K34" s="82"/>
      <c r="L34" s="82"/>
      <c r="M34" s="82"/>
      <c r="N34" s="82"/>
      <c r="O34" s="82"/>
      <c r="P34" s="82"/>
      <c r="Q34" s="82"/>
      <c r="R34" s="82"/>
      <c r="S34" s="82"/>
      <c r="T34" s="82"/>
      <c r="U34" s="82"/>
    </row>
    <row r="35" spans="3:21" x14ac:dyDescent="0.2">
      <c r="D35" s="40">
        <v>158344.8598130841</v>
      </c>
      <c r="E35" t="s">
        <v>64</v>
      </c>
      <c r="K35" s="40"/>
    </row>
    <row r="37" spans="3:21" x14ac:dyDescent="0.2">
      <c r="C37" s="83" t="s">
        <v>65</v>
      </c>
      <c r="D37" s="84" t="s">
        <v>66</v>
      </c>
      <c r="E37" s="84"/>
      <c r="F37" s="84"/>
      <c r="G37" s="84"/>
      <c r="H37" s="84"/>
      <c r="I37" s="84"/>
      <c r="J37" s="84"/>
      <c r="K37" s="84"/>
      <c r="L37" s="84"/>
      <c r="M37" s="84"/>
      <c r="N37" s="84"/>
      <c r="O37" s="84"/>
      <c r="P37" s="84"/>
      <c r="Q37" s="84"/>
      <c r="R37" s="84"/>
      <c r="S37" s="84"/>
      <c r="T37" s="84"/>
      <c r="U37" s="84"/>
    </row>
  </sheetData>
  <pageMargins left="0.7" right="0.7" top="0.75" bottom="0.75" header="0.3" footer="0.3"/>
  <pageSetup paperSize="9" scale="35" fitToHeight="0"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4E3871FEBC3EDC3EE0531950520A6160" version="1.0.0">
  <systemFields>
    <field name="Objective-Id">
      <value order="0">A5114102</value>
    </field>
    <field name="Objective-Title">
      <value order="0">Opal Lakes Dropbear Conservation Park - CBA Worked Example - Current</value>
    </field>
    <field name="Objective-Description">
      <value order="0"/>
    </field>
    <field name="Objective-CreationStamp">
      <value order="0">2021-08-20T06:09:00Z</value>
    </field>
    <field name="Objective-IsApproved">
      <value order="0">false</value>
    </field>
    <field name="Objective-IsPublished">
      <value order="0">false</value>
    </field>
    <field name="Objective-DatePublished">
      <value order="0"/>
    </field>
    <field name="Objective-ModificationStamp">
      <value order="0">2021-09-24T02:20:15Z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vA9063238</value>
    </field>
    <field name="Objective-Version">
      <value order="0">0.9</value>
    </field>
    <field name="Objective-VersionNumber">
      <value order="0">9</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vt:lpstr>
      <vt:lpstr>Economic Data and Calculations</vt:lpstr>
      <vt:lpstr>CapEx and Funding</vt:lpstr>
      <vt:lpstr>Cost-Benefit Analysis</vt:lpstr>
      <vt:lpstr>Minister Brief (sample answers)</vt:lpstr>
      <vt:lpstr>'Economic Data and Calculations'!Print_Area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2023-09-12T14:34:02Z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A5114102</vt:lpwstr>
  </property>
  <property fmtid="{D5CDD505-2E9C-101B-9397-08002B2CF9AE}" pid="4" name="Objective-Title">
    <vt:lpwstr>Opal Lakes Dropbear Conservation Park - CBA Worked Example - Current</vt:lpwstr>
  </property>
  <property fmtid="{D5CDD505-2E9C-101B-9397-08002B2CF9AE}" pid="5" name="Objective-Description">
    <vt:lpwstr/>
  </property>
  <property fmtid="{D5CDD505-2E9C-101B-9397-08002B2CF9AE}" pid="6" name="Objective-CreationStamp">
    <vt:filetime>2021-08-20T06:09:00Z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2021-09-24T02:20:15Z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vA9063238</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