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2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oard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Backlog" sheetId="4" state="visible" r:id="rId4"/>
    <sheet xmlns:r="http://schemas.openxmlformats.org/officeDocument/2006/relationships" name="Epics" sheetId="5" state="visible" r:id="rId5"/>
    <sheet xmlns:r="http://schemas.openxmlformats.org/officeDocument/2006/relationships" name="Roadmap" sheetId="6" state="visible" r:id="rId6"/>
    <sheet xmlns:r="http://schemas.openxmlformats.org/officeDocument/2006/relationships" name="Screens" sheetId="7" state="visible" r:id="rId7"/>
    <sheet xmlns:r="http://schemas.openxmlformats.org/officeDocument/2006/relationships" name="Design Gallery" sheetId="8" state="visible" r:id="rId8"/>
    <sheet xmlns:r="http://schemas.openxmlformats.org/officeDocument/2006/relationships" name="Design System" sheetId="9" state="visible" r:id="rId9"/>
    <sheet xmlns:r="http://schemas.openxmlformats.org/officeDocument/2006/relationships" name="Requirements" sheetId="10" state="visible" r:id="rId10"/>
    <sheet xmlns:r="http://schemas.openxmlformats.org/officeDocument/2006/relationships" name="Test Cases" sheetId="11" state="visible" r:id="rId11"/>
    <sheet xmlns:r="http://schemas.openxmlformats.org/officeDocument/2006/relationships" name="Dependencies" sheetId="12" state="visible" r:id="rId12"/>
    <sheet xmlns:r="http://schemas.openxmlformats.org/officeDocument/2006/relationships" name="ADRs" sheetId="13" state="visible" r:id="rId13"/>
    <sheet xmlns:r="http://schemas.openxmlformats.org/officeDocument/2006/relationships" name="Risks &amp; Questions" sheetId="14" state="visible" r:id="rId14"/>
    <sheet xmlns:r="http://schemas.openxmlformats.org/officeDocument/2006/relationships" name="Git-PR-CI" sheetId="15" state="visible" r:id="rId15"/>
    <sheet xmlns:r="http://schemas.openxmlformats.org/officeDocument/2006/relationships" name="Translations" sheetId="16" state="visible" r:id="rId16"/>
    <sheet xmlns:r="http://schemas.openxmlformats.org/officeDocument/2006/relationships" name="Prompt Library" sheetId="17" state="visible" r:id="rId17"/>
    <sheet xmlns:r="http://schemas.openxmlformats.org/officeDocument/2006/relationships" name="Lists" sheetId="18" state="hidden" r:id="rId18"/>
  </sheets>
  <definedNames>
    <definedName name="_xlnm._FilterDatabase" localSheetId="3" hidden="1">'Backlog'!$A$1:$AL$85</definedName>
    <definedName name="_xlnm._FilterDatabase" localSheetId="4" hidden="1">'Epics'!$A$1:$I$16</definedName>
    <definedName name="_xlnm._FilterDatabase" localSheetId="6" hidden="1">'Screens'!$A$1:$S$26</definedName>
    <definedName name="_xlnm._FilterDatabase" localSheetId="8" hidden="1">'Design System'!$A$4:$E$66</definedName>
    <definedName name="_xlnm._FilterDatabase" localSheetId="9" hidden="1">'Requirements'!$A$1:$J$43</definedName>
    <definedName name="_xlnm._FilterDatabase" localSheetId="10" hidden="1">'Test Cases'!$A$1:$P$62</definedName>
    <definedName name="_xlnm._FilterDatabase" localSheetId="11" hidden="1">'Dependencies'!$A$1:$M$94</definedName>
    <definedName name="_xlnm._FilterDatabase" localSheetId="12" hidden="1">'ADRs'!$A$1:$K$19</definedName>
    <definedName name="_xlnm._FilterDatabase" localSheetId="13" hidden="1">'Risks &amp; Questions'!$A$1:$K$25</definedName>
    <definedName name="_xlnm._FilterDatabase" localSheetId="14" hidden="1">'Git-PR-CI'!$A$1:$P$83</definedName>
    <definedName name="_xlnm._FilterDatabase" localSheetId="15" hidden="1">'Translations'!$A$1:$I$296</definedName>
    <definedName name="_xlnm._FilterDatabase" localSheetId="16" hidden="1">'Prompt Library'!$A$1:$F$25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35256F"/>
      <sz val="18"/>
    </font>
    <font>
      <name val="Arial"/>
      <i val="1"/>
      <color rgb="00716B80"/>
      <sz val="10"/>
    </font>
    <font>
      <name val="Arial"/>
      <b val="1"/>
      <sz val="10"/>
    </font>
    <font>
      <name val="Arial"/>
      <sz val="10"/>
    </font>
    <font>
      <name val="Arial"/>
      <color rgb="004B388B"/>
      <sz val="10"/>
      <u val="single"/>
    </font>
    <font>
      <name val="Arial"/>
      <b val="1"/>
      <color rgb="0035256F"/>
      <sz val="13"/>
    </font>
    <font>
      <name val="Arial"/>
      <b val="1"/>
      <color rgb="00FFFFFF"/>
      <sz val="10"/>
    </font>
    <font>
      <name val="Arial"/>
      <color rgb="009A93A3"/>
      <sz val="9"/>
    </font>
    <font>
      <name val="Arial"/>
      <b val="1"/>
      <color rgb="00FFFFFF"/>
      <sz val="12"/>
    </font>
    <font>
      <name val="Arial"/>
      <i val="1"/>
      <color rgb="00716B80"/>
      <sz val="9"/>
    </font>
    <font>
      <name val="Arial"/>
      <b val="1"/>
      <color rgb="0017152F"/>
      <sz val="12"/>
    </font>
    <font>
      <name val="Arial"/>
      <b val="1"/>
      <color rgb="0035256F"/>
      <sz val="11"/>
    </font>
    <font>
      <name val="Arial"/>
      <color rgb="00716B80"/>
      <sz val="8"/>
    </font>
  </fonts>
  <fills count="39">
    <fill>
      <patternFill/>
    </fill>
    <fill>
      <patternFill patternType="gray125"/>
    </fill>
    <fill>
      <patternFill patternType="solid">
        <fgColor rgb="00EAE3FF"/>
      </patternFill>
    </fill>
    <fill>
      <patternFill patternType="solid">
        <fgColor rgb="0035256F"/>
      </patternFill>
    </fill>
    <fill>
      <patternFill patternType="solid">
        <fgColor rgb="00F8F5FB"/>
      </patternFill>
    </fill>
    <fill>
      <patternFill patternType="solid">
        <fgColor rgb="004B388B"/>
      </patternFill>
    </fill>
    <fill>
      <patternFill patternType="solid">
        <fgColor rgb="00716B80"/>
      </patternFill>
    </fill>
    <fill>
      <patternFill patternType="solid">
        <fgColor rgb="00FFD977"/>
      </patternFill>
    </fill>
    <fill>
      <patternFill patternType="solid">
        <fgColor rgb="00F2A39A"/>
      </patternFill>
    </fill>
    <fill>
      <patternFill patternType="solid">
        <fgColor rgb="00287A54"/>
      </patternFill>
    </fill>
    <fill>
      <patternFill patternType="solid">
        <fgColor rgb="00FFF4E8"/>
      </patternFill>
    </fill>
    <fill>
      <patternFill patternType="solid">
        <fgColor rgb="00A995F5"/>
      </patternFill>
    </fill>
    <fill>
      <patternFill patternType="solid">
        <fgColor rgb="0017152F"/>
      </patternFill>
    </fill>
    <fill>
      <patternFill patternType="solid">
        <fgColor rgb="00242044"/>
      </patternFill>
    </fill>
    <fill>
      <patternFill patternType="solid">
        <fgColor rgb="00FFF9F0"/>
      </patternFill>
    </fill>
    <fill>
      <patternFill patternType="solid">
        <fgColor rgb="00FFFFFF"/>
      </patternFill>
    </fill>
    <fill>
      <patternFill patternType="solid">
        <fgColor rgb="00E9E4EC"/>
      </patternFill>
    </fill>
    <fill>
      <patternFill patternType="solid">
        <fgColor rgb="00FFC9AD"/>
      </patternFill>
    </fill>
    <fill>
      <patternFill patternType="solid">
        <fgColor rgb="00FFF1BD"/>
      </patternFill>
    </fill>
    <fill>
      <patternFill patternType="solid">
        <fgColor rgb="0025213A"/>
      </patternFill>
    </fill>
    <fill>
      <patternFill patternType="solid">
        <fgColor rgb="00393348"/>
      </patternFill>
    </fill>
    <fill>
      <patternFill patternType="solid">
        <fgColor rgb="00817B8D"/>
      </patternFill>
    </fill>
    <fill>
      <patternFill patternType="solid">
        <fgColor rgb="00EAF5EE"/>
      </patternFill>
    </fill>
    <fill>
      <patternFill patternType="solid">
        <fgColor rgb="00B42318"/>
      </patternFill>
    </fill>
    <fill>
      <patternFill patternType="solid">
        <fgColor rgb="009D3158"/>
      </patternFill>
    </fill>
    <fill>
      <patternFill patternType="solid">
        <fgColor rgb="00FFEDF2"/>
      </patternFill>
    </fill>
    <fill>
      <patternFill patternType="solid">
        <fgColor rgb="00F6B995"/>
      </patternFill>
    </fill>
    <fill>
      <patternFill patternType="solid">
        <fgColor rgb="00694B91"/>
      </patternFill>
    </fill>
    <fill>
      <patternFill patternType="solid">
        <fgColor rgb="006252A6"/>
      </patternFill>
    </fill>
    <fill>
      <patternFill patternType="solid">
        <fgColor rgb="00F2A978"/>
      </patternFill>
    </fill>
    <fill>
      <patternFill patternType="solid">
        <fgColor rgb="0032306D"/>
      </patternFill>
    </fill>
    <fill>
      <patternFill patternType="solid">
        <fgColor rgb="009F91E9"/>
      </patternFill>
    </fill>
    <fill>
      <patternFill patternType="solid">
        <fgColor rgb="0047796B"/>
      </patternFill>
    </fill>
    <fill>
      <patternFill patternType="solid">
        <fgColor rgb="00EFBB69"/>
      </patternFill>
    </fill>
    <fill>
      <patternFill patternType="solid">
        <fgColor rgb="0025285D"/>
      </patternFill>
    </fill>
    <fill>
      <patternFill patternType="solid">
        <fgColor rgb="00DB82A6"/>
      </patternFill>
    </fill>
    <fill>
      <patternFill patternType="solid">
        <fgColor rgb="00B15B54"/>
      </patternFill>
    </fill>
    <fill>
      <patternFill patternType="solid">
        <fgColor rgb="00F5C568"/>
      </patternFill>
    </fill>
    <fill>
      <patternFill patternType="solid">
        <fgColor rgb="00FFFDF8"/>
      </patternFill>
    </fill>
  </fills>
  <borders count="7">
    <border>
      <left/>
      <right/>
      <top/>
      <bottom/>
      <diagonal/>
    </border>
    <border>
      <left style="thin">
        <color rgb="00E9E4EC"/>
      </left>
      <right style="thin">
        <color rgb="00E9E4EC"/>
      </right>
      <top style="thin">
        <color rgb="00E9E4EC"/>
      </top>
      <bottom style="thin">
        <color rgb="00E9E4EC"/>
      </bottom>
    </border>
    <border>
      <left style="thin">
        <color rgb="00FFFFFF"/>
      </left>
      <right style="thin">
        <color rgb="00FFFFFF"/>
      </right>
      <bottom style="thin">
        <color rgb="00FFFFFF"/>
      </bottom>
    </border>
    <border>
      <left/>
      <right/>
      <top style="thin">
        <color rgb="00E9E4EC"/>
      </top>
      <bottom/>
      <diagonal/>
    </border>
    <border>
      <left/>
      <right style="thin">
        <color rgb="00E9E4EC"/>
      </right>
      <top style="thin">
        <color rgb="00E9E4EC"/>
      </top>
      <bottom/>
      <diagonal/>
    </border>
    <border>
      <left/>
      <right style="thin">
        <color rgb="00E9E4EC"/>
      </right>
      <top style="thin">
        <color rgb="00E9E4EC"/>
      </top>
      <bottom style="thin">
        <color rgb="00E9E4EC"/>
      </bottom>
      <diagonal/>
    </border>
    <border>
      <left/>
      <right/>
      <top style="thin">
        <color rgb="00E9E4EC"/>
      </top>
      <bottom style="thin">
        <color rgb="00E9E4EC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left"/>
    </xf>
    <xf numFmtId="0" fontId="9" fillId="6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7" fillId="3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13" fillId="0" borderId="0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11" borderId="1" pivotButton="0" quotePrefix="0" xfId="0"/>
    <xf numFmtId="0" fontId="0" fillId="2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4" borderId="1" pivotButton="0" quotePrefix="0" xfId="0"/>
    <xf numFmtId="0" fontId="0" fillId="16" borderId="1" pivotButton="0" quotePrefix="0" xfId="0"/>
    <xf numFmtId="0" fontId="0" fillId="7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6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9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0" fillId="25" borderId="1" pivotButton="0" quotePrefix="0" xfId="0"/>
    <xf numFmtId="0" fontId="0" fillId="26" borderId="1" pivotButton="0" quotePrefix="0" xfId="0"/>
    <xf numFmtId="0" fontId="0" fillId="27" borderId="0" pivotButton="0" quotePrefix="0" xfId="0"/>
    <xf numFmtId="0" fontId="0" fillId="28" borderId="1" pivotButton="0" quotePrefix="0" xfId="0"/>
    <xf numFmtId="0" fontId="0" fillId="29" borderId="0" pivotButton="0" quotePrefix="0" xfId="0"/>
    <xf numFmtId="0" fontId="0" fillId="30" borderId="1" pivotButton="0" quotePrefix="0" xfId="0"/>
    <xf numFmtId="0" fontId="0" fillId="31" borderId="0" pivotButton="0" quotePrefix="0" xfId="0"/>
    <xf numFmtId="0" fontId="0" fillId="32" borderId="1" pivotButton="0" quotePrefix="0" xfId="0"/>
    <xf numFmtId="0" fontId="0" fillId="33" borderId="0" pivotButton="0" quotePrefix="0" xfId="0"/>
    <xf numFmtId="0" fontId="0" fillId="34" borderId="1" pivotButton="0" quotePrefix="0" xfId="0"/>
    <xf numFmtId="0" fontId="0" fillId="35" borderId="0" pivotButton="0" quotePrefix="0" xfId="0"/>
    <xf numFmtId="0" fontId="0" fillId="36" borderId="1" pivotButton="0" quotePrefix="0" xfId="0"/>
    <xf numFmtId="0" fontId="0" fillId="37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38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1EEF4"/>
        </patternFill>
      </fill>
    </dxf>
    <dxf>
      <fill>
        <patternFill patternType="solid">
          <fgColor rgb="00FFF3CC"/>
        </patternFill>
      </fill>
    </dxf>
    <dxf>
      <fill>
        <patternFill patternType="solid">
          <fgColor rgb="00EAE3FF"/>
        </patternFill>
      </fill>
    </dxf>
    <dxf>
      <fill>
        <patternFill patternType="solid">
          <fgColor rgb="00FDE3E0"/>
        </patternFill>
      </fill>
    </dxf>
    <dxf>
      <fill>
        <patternFill patternType="solid">
          <fgColor rgb="00E3F3E9"/>
        </patternFill>
      </fill>
    </dxf>
    <dxf>
      <fill>
        <patternFill patternType="solid">
          <fgColor rgb="00E9E4EC"/>
        </patternFill>
      </fill>
    </dxf>
    <dxf>
      <fill>
        <patternFill patternType="solid">
          <fgColor rgb="00FFD977"/>
        </patternFill>
      </fill>
    </dxf>
    <dxf>
      <fill>
        <patternFill patternType="solid">
          <fgColor rgb="00A995F5"/>
        </patternFill>
      </fill>
    </dxf>
    <dxf>
      <fill>
        <patternFill patternType="solid">
          <fgColor rgb="00F8C9C4"/>
        </patternFill>
      </fill>
    </dxf>
    <dxf>
      <fill>
        <patternFill patternType="solid">
          <fgColor rgb="00BFE3CD"/>
        </patternFill>
      </fill>
    </dxf>
    <dxf>
      <fill>
        <patternFill patternType="solid">
          <fgColor rgb="00FFC9AD"/>
        </patternFill>
      </fill>
    </dxf>
    <dxf>
      <fill>
        <patternFill patternType="solid">
          <fgColor rgb="00FF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LittleStory</author>
  </authors>
  <commentList>
    <comment ref="T1" authorId="0" shapeId="0">
      <text>
        <t>Editable column – update as work progresses.</t>
      </text>
    </comment>
    <comment ref="AB1" authorId="0" shapeId="0">
      <text>
        <t>Editable column – update as work progresses.</t>
      </text>
    </comment>
    <comment ref="AC1" authorId="0" shapeId="0">
      <text>
        <t>Editable column – update as work progresses.</t>
      </text>
    </comment>
    <comment ref="AD1" authorId="0" shapeId="0">
      <text>
        <t>Editable column – update as work progresses.</t>
      </text>
    </comment>
    <comment ref="AG1" authorId="0" shapeId="0">
      <text>
        <t>Editable column – update as work progresses.</t>
      </text>
    </comment>
    <comment ref="AI1" authorId="0" shapeId="0">
      <text>
        <t>Editable column – update as work progresses.</t>
      </text>
    </comment>
    <comment ref="AL1" authorId="0" shapeId="0">
      <text>
        <t>Helper for the Board sheet: Status|running count. Do not edit.</t>
      </text>
    </comment>
  </commentList>
</comments>
</file>

<file path=xl/comments/comment2.xml><?xml version="1.0" encoding="utf-8"?>
<comments xmlns="http://schemas.openxmlformats.org/spreadsheetml/2006/main">
  <authors>
    <author>LittleStory</author>
  </authors>
  <commentList>
    <comment ref="D1" authorId="0" shapeId="0">
      <text>
        <t>Fill Kannada here. Keep status 'Needs native review' until a fluent reviewer approves.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jpeg" Id="rId2"/><Relationship Type="http://schemas.openxmlformats.org/officeDocument/2006/relationships/image" Target="/xl/media/image23.jpeg" Id="rId3"/><Relationship Type="http://schemas.openxmlformats.org/officeDocument/2006/relationships/image" Target="/xl/media/image24.jpeg" Id="rId4"/><Relationship Type="http://schemas.openxmlformats.org/officeDocument/2006/relationships/image" Target="/xl/media/image25.jpeg" Id="rId5"/><Relationship Type="http://schemas.openxmlformats.org/officeDocument/2006/relationships/image" Target="/xl/media/image26.jpeg" Id="rId6"/><Relationship Type="http://schemas.openxmlformats.org/officeDocument/2006/relationships/image" Target="/xl/media/image27.jpeg" Id="rId7"/><Relationship Type="http://schemas.openxmlformats.org/officeDocument/2006/relationships/image" Target="/xl/media/image28.jpeg" Id="rId8"/><Relationship Type="http://schemas.openxmlformats.org/officeDocument/2006/relationships/image" Target="/xl/media/image29.jpeg" Id="rId9"/><Relationship Type="http://schemas.openxmlformats.org/officeDocument/2006/relationships/image" Target="/xl/media/image30.jpeg" Id="rId10"/><Relationship Type="http://schemas.openxmlformats.org/officeDocument/2006/relationships/image" Target="/xl/media/image31.jpeg" Id="rId11"/><Relationship Type="http://schemas.openxmlformats.org/officeDocument/2006/relationships/image" Target="/xl/media/image32.jpeg" Id="rId12"/><Relationship Type="http://schemas.openxmlformats.org/officeDocument/2006/relationships/image" Target="/xl/media/image33.jpeg" Id="rId13"/><Relationship Type="http://schemas.openxmlformats.org/officeDocument/2006/relationships/image" Target="/xl/media/image34.jpeg" Id="rId14"/><Relationship Type="http://schemas.openxmlformats.org/officeDocument/2006/relationships/image" Target="/xl/media/image35.jpeg" Id="rId15"/><Relationship Type="http://schemas.openxmlformats.org/officeDocument/2006/relationships/image" Target="/xl/media/image36.jpeg" Id="rId16"/><Relationship Type="http://schemas.openxmlformats.org/officeDocument/2006/relationships/image" Target="/xl/media/image37.jpeg" Id="rId17"/><Relationship Type="http://schemas.openxmlformats.org/officeDocument/2006/relationships/image" Target="/xl/media/image38.jpeg" Id="rId18"/><Relationship Type="http://schemas.openxmlformats.org/officeDocument/2006/relationships/image" Target="/xl/media/image39.jpeg" Id="rId19"/><Relationship Type="http://schemas.openxmlformats.org/officeDocument/2006/relationships/image" Target="/xl/media/image40.jpeg" Id="rId20"/><Relationship Type="http://schemas.openxmlformats.org/officeDocument/2006/relationships/image" Target="/xl/media/image41.jpeg" Id="rId21"/><Relationship Type="http://schemas.openxmlformats.org/officeDocument/2006/relationships/image" Target="/xl/media/image42.jpeg" Id="rId2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600200" cy="3467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1600200" cy="3467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1600200" cy="3467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1600200" cy="3467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1600200" cy="3467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1600200" cy="3467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1600200" cy="3467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1600200" cy="3467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1600200" cy="27908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1600200" cy="3467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1600200" cy="34671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1600200" cy="34671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1600200" cy="34671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1600200" cy="3467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1600200" cy="3467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1600200" cy="1733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1600200" cy="31051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1600200" cy="26098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600200" cy="14954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1600200" cy="1733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5</row>
      <rowOff>0</rowOff>
    </from>
    <ext cx="2190750" cy="4752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</row>
      <rowOff>0</rowOff>
    </from>
    <ext cx="2190750" cy="47529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</row>
      <rowOff>0</rowOff>
    </from>
    <ext cx="2190750" cy="47529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5</row>
      <rowOff>0</rowOff>
    </from>
    <ext cx="2190750" cy="7639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</row>
      <rowOff>0</rowOff>
    </from>
    <ext cx="2190750" cy="6419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2190750" cy="86582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51</row>
      <rowOff>0</rowOff>
    </from>
    <ext cx="2190750" cy="5676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51</row>
      <rowOff>0</rowOff>
    </from>
    <ext cx="2190750" cy="7134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102</row>
      <rowOff>0</rowOff>
    </from>
    <ext cx="2190750" cy="86582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2190750" cy="86582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102</row>
      <rowOff>0</rowOff>
    </from>
    <ext cx="2190750" cy="38195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102</row>
      <rowOff>0</rowOff>
    </from>
    <ext cx="2190750" cy="50958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153</row>
      <rowOff>0</rowOff>
    </from>
    <ext cx="2190750" cy="50958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153</row>
      <rowOff>0</rowOff>
    </from>
    <ext cx="2190750" cy="50958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153</row>
      <rowOff>0</rowOff>
    </from>
    <ext cx="2190750" cy="50958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153</row>
      <rowOff>0</rowOff>
    </from>
    <ext cx="2190750" cy="71342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196</row>
      <rowOff>0</rowOff>
    </from>
    <ext cx="2190750" cy="71342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196</row>
      <rowOff>0</rowOff>
    </from>
    <ext cx="2190750" cy="23717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196</row>
      <rowOff>0</rowOff>
    </from>
    <ext cx="2190750" cy="42576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196</row>
      <rowOff>0</rowOff>
    </from>
    <ext cx="2190750" cy="3571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239</row>
      <rowOff>0</rowOff>
    </from>
    <ext cx="2190750" cy="20478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239</row>
      <rowOff>0</rowOff>
    </from>
    <ext cx="2190750" cy="2381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igma.com/make/2DYtUW39GtnsDpUd5jSu6x/Mobile-App-UI-Prototype?p=f&amp;t=7bdm57yPvNI3NZ8f-0" TargetMode="External" Id="rId1"/><Relationship Type="http://schemas.openxmlformats.org/officeDocument/2006/relationships/hyperlink" Target="https://github.com/shivayogih/LittleStory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igma.com/make/2DYtUW39GtnsDpUd5jSu6x/Mobile-App-UI-Prototype?p=f&amp;t=7bdm57yPvNI3NZ8f-0" TargetMode="External" Id="rId1"/><Relationship Type="http://schemas.openxmlformats.org/officeDocument/2006/relationships/hyperlink" Target="https://www.figma.com/make/2DYtUW39GtnsDpUd5jSu6x/Mobile-App-UI-Prototype?p=f&amp;t=7bdm57yPvNI3NZ8f-0" TargetMode="External" Id="rId2"/><Relationship Type="http://schemas.openxmlformats.org/officeDocument/2006/relationships/hyperlink" Target="https://www.figma.com/make/2DYtUW39GtnsDpUd5jSu6x/Mobile-App-UI-Prototype?p=f&amp;t=7bdm57yPvNI3NZ8f-0" TargetMode="External" Id="rId3"/><Relationship Type="http://schemas.openxmlformats.org/officeDocument/2006/relationships/hyperlink" Target="https://www.figma.com/make/2DYtUW39GtnsDpUd5jSu6x/Mobile-App-UI-Prototype?p=f&amp;t=7bdm57yPvNI3NZ8f-0" TargetMode="External" Id="rId4"/><Relationship Type="http://schemas.openxmlformats.org/officeDocument/2006/relationships/hyperlink" Target="https://www.figma.com/make/2DYtUW39GtnsDpUd5jSu6x/Mobile-App-UI-Prototype?p=f&amp;t=7bdm57yPvNI3NZ8f-0" TargetMode="External" Id="rId5"/><Relationship Type="http://schemas.openxmlformats.org/officeDocument/2006/relationships/hyperlink" Target="https://www.figma.com/make/2DYtUW39GtnsDpUd5jSu6x/Mobile-App-UI-Prototype?p=f&amp;t=7bdm57yPvNI3NZ8f-0" TargetMode="External" Id="rId6"/><Relationship Type="http://schemas.openxmlformats.org/officeDocument/2006/relationships/hyperlink" Target="https://www.figma.com/make/2DYtUW39GtnsDpUd5jSu6x/Mobile-App-UI-Prototype?p=f&amp;t=7bdm57yPvNI3NZ8f-0" TargetMode="External" Id="rId7"/><Relationship Type="http://schemas.openxmlformats.org/officeDocument/2006/relationships/hyperlink" Target="https://www.figma.com/make/2DYtUW39GtnsDpUd5jSu6x/Mobile-App-UI-Prototype?p=f&amp;t=7bdm57yPvNI3NZ8f-0" TargetMode="External" Id="rId8"/><Relationship Type="http://schemas.openxmlformats.org/officeDocument/2006/relationships/hyperlink" Target="#'Screens'!A2" TargetMode="External" Id="rId9"/><Relationship Type="http://schemas.openxmlformats.org/officeDocument/2006/relationships/hyperlink" Target="https://www.figma.com/make/2DYtUW39GtnsDpUd5jSu6x/Mobile-App-UI-Prototype?p=f&amp;t=7bdm57yPvNI3NZ8f-0" TargetMode="External" Id="rId10"/><Relationship Type="http://schemas.openxmlformats.org/officeDocument/2006/relationships/hyperlink" Target="https://www.figma.com/make/2DYtUW39GtnsDpUd5jSu6x/Mobile-App-UI-Prototype?p=f&amp;t=7bdm57yPvNI3NZ8f-0" TargetMode="External" Id="rId11"/><Relationship Type="http://schemas.openxmlformats.org/officeDocument/2006/relationships/hyperlink" Target="#'Screens'!A3" TargetMode="External" Id="rId12"/><Relationship Type="http://schemas.openxmlformats.org/officeDocument/2006/relationships/hyperlink" Target="https://www.figma.com/make/2DYtUW39GtnsDpUd5jSu6x/Mobile-App-UI-Prototype?p=f&amp;t=7bdm57yPvNI3NZ8f-0" TargetMode="External" Id="rId13"/><Relationship Type="http://schemas.openxmlformats.org/officeDocument/2006/relationships/hyperlink" Target="#'Screens'!A6" TargetMode="External" Id="rId14"/><Relationship Type="http://schemas.openxmlformats.org/officeDocument/2006/relationships/hyperlink" Target="https://www.figma.com/make/2DYtUW39GtnsDpUd5jSu6x/Mobile-App-UI-Prototype?p=f&amp;t=7bdm57yPvNI3NZ8f-0" TargetMode="External" Id="rId15"/><Relationship Type="http://schemas.openxmlformats.org/officeDocument/2006/relationships/hyperlink" Target="#'Screens'!A4" TargetMode="External" Id="rId16"/><Relationship Type="http://schemas.openxmlformats.org/officeDocument/2006/relationships/hyperlink" Target="https://www.figma.com/make/2DYtUW39GtnsDpUd5jSu6x/Mobile-App-UI-Prototype?p=f&amp;t=7bdm57yPvNI3NZ8f-0" TargetMode="External" Id="rId17"/><Relationship Type="http://schemas.openxmlformats.org/officeDocument/2006/relationships/hyperlink" Target="https://www.figma.com/make/2DYtUW39GtnsDpUd5jSu6x/Mobile-App-UI-Prototype?p=f&amp;t=7bdm57yPvNI3NZ8f-0" TargetMode="External" Id="rId18"/><Relationship Type="http://schemas.openxmlformats.org/officeDocument/2006/relationships/hyperlink" Target="https://www.figma.com/make/2DYtUW39GtnsDpUd5jSu6x/Mobile-App-UI-Prototype?p=f&amp;t=7bdm57yPvNI3NZ8f-0" TargetMode="External" Id="rId19"/><Relationship Type="http://schemas.openxmlformats.org/officeDocument/2006/relationships/hyperlink" Target="https://www.figma.com/make/2DYtUW39GtnsDpUd5jSu6x/Mobile-App-UI-Prototype?p=f&amp;t=7bdm57yPvNI3NZ8f-0" TargetMode="External" Id="rId20"/><Relationship Type="http://schemas.openxmlformats.org/officeDocument/2006/relationships/hyperlink" Target="https://www.figma.com/make/2DYtUW39GtnsDpUd5jSu6x/Mobile-App-UI-Prototype?p=f&amp;t=7bdm57yPvNI3NZ8f-0" TargetMode="External" Id="rId21"/><Relationship Type="http://schemas.openxmlformats.org/officeDocument/2006/relationships/hyperlink" Target="#'Screens'!A8" TargetMode="External" Id="rId22"/><Relationship Type="http://schemas.openxmlformats.org/officeDocument/2006/relationships/hyperlink" Target="https://www.figma.com/make/2DYtUW39GtnsDpUd5jSu6x/Mobile-App-UI-Prototype?p=f&amp;t=7bdm57yPvNI3NZ8f-0" TargetMode="External" Id="rId23"/><Relationship Type="http://schemas.openxmlformats.org/officeDocument/2006/relationships/hyperlink" Target="#'Screens'!A3" TargetMode="External" Id="rId24"/><Relationship Type="http://schemas.openxmlformats.org/officeDocument/2006/relationships/hyperlink" Target="https://www.figma.com/make/2DYtUW39GtnsDpUd5jSu6x/Mobile-App-UI-Prototype?p=f&amp;t=7bdm57yPvNI3NZ8f-0" TargetMode="External" Id="rId25"/><Relationship Type="http://schemas.openxmlformats.org/officeDocument/2006/relationships/hyperlink" Target="#'Screens'!A23" TargetMode="External" Id="rId26"/><Relationship Type="http://schemas.openxmlformats.org/officeDocument/2006/relationships/hyperlink" Target="https://www.figma.com/make/2DYtUW39GtnsDpUd5jSu6x/Mobile-App-UI-Prototype?p=f&amp;t=7bdm57yPvNI3NZ8f-0" TargetMode="External" Id="rId27"/><Relationship Type="http://schemas.openxmlformats.org/officeDocument/2006/relationships/hyperlink" Target="https://www.figma.com/make/2DYtUW39GtnsDpUd5jSu6x/Mobile-App-UI-Prototype?p=f&amp;t=7bdm57yPvNI3NZ8f-0" TargetMode="External" Id="rId28"/><Relationship Type="http://schemas.openxmlformats.org/officeDocument/2006/relationships/hyperlink" Target="https://www.figma.com/make/2DYtUW39GtnsDpUd5jSu6x/Mobile-App-UI-Prototype?p=f&amp;t=7bdm57yPvNI3NZ8f-0" TargetMode="External" Id="rId29"/><Relationship Type="http://schemas.openxmlformats.org/officeDocument/2006/relationships/hyperlink" Target="#'Screens'!A22" TargetMode="External" Id="rId30"/><Relationship Type="http://schemas.openxmlformats.org/officeDocument/2006/relationships/hyperlink" Target="https://www.figma.com/make/2DYtUW39GtnsDpUd5jSu6x/Mobile-App-UI-Prototype?p=f&amp;t=7bdm57yPvNI3NZ8f-0" TargetMode="External" Id="rId31"/><Relationship Type="http://schemas.openxmlformats.org/officeDocument/2006/relationships/hyperlink" Target="https://www.figma.com/make/2DYtUW39GtnsDpUd5jSu6x/Mobile-App-UI-Prototype?p=f&amp;t=7bdm57yPvNI3NZ8f-0" TargetMode="External" Id="rId32"/><Relationship Type="http://schemas.openxmlformats.org/officeDocument/2006/relationships/hyperlink" Target="#'Screens'!A2" TargetMode="External" Id="rId33"/><Relationship Type="http://schemas.openxmlformats.org/officeDocument/2006/relationships/hyperlink" Target="https://www.figma.com/make/2DYtUW39GtnsDpUd5jSu6x/Mobile-App-UI-Prototype?p=f&amp;t=7bdm57yPvNI3NZ8f-0" TargetMode="External" Id="rId34"/><Relationship Type="http://schemas.openxmlformats.org/officeDocument/2006/relationships/hyperlink" Target="#'Screens'!A3" TargetMode="External" Id="rId35"/><Relationship Type="http://schemas.openxmlformats.org/officeDocument/2006/relationships/hyperlink" Target="https://www.figma.com/make/2DYtUW39GtnsDpUd5jSu6x/Mobile-App-UI-Prototype?p=f&amp;t=7bdm57yPvNI3NZ8f-0" TargetMode="External" Id="rId36"/><Relationship Type="http://schemas.openxmlformats.org/officeDocument/2006/relationships/hyperlink" Target="#'Screens'!A3" TargetMode="External" Id="rId37"/><Relationship Type="http://schemas.openxmlformats.org/officeDocument/2006/relationships/hyperlink" Target="https://www.figma.com/make/2DYtUW39GtnsDpUd5jSu6x/Mobile-App-UI-Prototype?p=f&amp;t=7bdm57yPvNI3NZ8f-0" TargetMode="External" Id="rId38"/><Relationship Type="http://schemas.openxmlformats.org/officeDocument/2006/relationships/hyperlink" Target="#'Screens'!A17" TargetMode="External" Id="rId39"/><Relationship Type="http://schemas.openxmlformats.org/officeDocument/2006/relationships/hyperlink" Target="https://www.figma.com/make/2DYtUW39GtnsDpUd5jSu6x/Mobile-App-UI-Prototype?p=f&amp;t=7bdm57yPvNI3NZ8f-0" TargetMode="External" Id="rId40"/><Relationship Type="http://schemas.openxmlformats.org/officeDocument/2006/relationships/hyperlink" Target="#'Screens'!A4" TargetMode="External" Id="rId41"/><Relationship Type="http://schemas.openxmlformats.org/officeDocument/2006/relationships/hyperlink" Target="https://www.figma.com/make/2DYtUW39GtnsDpUd5jSu6x/Mobile-App-UI-Prototype?p=f&amp;t=7bdm57yPvNI3NZ8f-0" TargetMode="External" Id="rId42"/><Relationship Type="http://schemas.openxmlformats.org/officeDocument/2006/relationships/hyperlink" Target="#'Screens'!A5" TargetMode="External" Id="rId43"/><Relationship Type="http://schemas.openxmlformats.org/officeDocument/2006/relationships/hyperlink" Target="https://www.figma.com/make/2DYtUW39GtnsDpUd5jSu6x/Mobile-App-UI-Prototype?p=f&amp;t=7bdm57yPvNI3NZ8f-0" TargetMode="External" Id="rId44"/><Relationship Type="http://schemas.openxmlformats.org/officeDocument/2006/relationships/hyperlink" Target="#'Screens'!A6" TargetMode="External" Id="rId45"/><Relationship Type="http://schemas.openxmlformats.org/officeDocument/2006/relationships/hyperlink" Target="https://www.figma.com/make/2DYtUW39GtnsDpUd5jSu6x/Mobile-App-UI-Prototype?p=f&amp;t=7bdm57yPvNI3NZ8f-0" TargetMode="External" Id="rId46"/><Relationship Type="http://schemas.openxmlformats.org/officeDocument/2006/relationships/hyperlink" Target="#'Screens'!A7" TargetMode="External" Id="rId47"/><Relationship Type="http://schemas.openxmlformats.org/officeDocument/2006/relationships/hyperlink" Target="https://www.figma.com/make/2DYtUW39GtnsDpUd5jSu6x/Mobile-App-UI-Prototype?p=f&amp;t=7bdm57yPvNI3NZ8f-0" TargetMode="External" Id="rId48"/><Relationship Type="http://schemas.openxmlformats.org/officeDocument/2006/relationships/hyperlink" Target="#'Screens'!A8" TargetMode="External" Id="rId49"/><Relationship Type="http://schemas.openxmlformats.org/officeDocument/2006/relationships/hyperlink" Target="https://www.figma.com/make/2DYtUW39GtnsDpUd5jSu6x/Mobile-App-UI-Prototype?p=f&amp;t=7bdm57yPvNI3NZ8f-0" TargetMode="External" Id="rId50"/><Relationship Type="http://schemas.openxmlformats.org/officeDocument/2006/relationships/hyperlink" Target="https://www.figma.com/make/2DYtUW39GtnsDpUd5jSu6x/Mobile-App-UI-Prototype?p=f&amp;t=7bdm57yPvNI3NZ8f-0" TargetMode="External" Id="rId51"/><Relationship Type="http://schemas.openxmlformats.org/officeDocument/2006/relationships/hyperlink" Target="#'Screens'!A9" TargetMode="External" Id="rId52"/><Relationship Type="http://schemas.openxmlformats.org/officeDocument/2006/relationships/hyperlink" Target="https://www.figma.com/make/2DYtUW39GtnsDpUd5jSu6x/Mobile-App-UI-Prototype?p=f&amp;t=7bdm57yPvNI3NZ8f-0" TargetMode="External" Id="rId53"/><Relationship Type="http://schemas.openxmlformats.org/officeDocument/2006/relationships/hyperlink" Target="#'Screens'!A9" TargetMode="External" Id="rId54"/><Relationship Type="http://schemas.openxmlformats.org/officeDocument/2006/relationships/hyperlink" Target="https://www.figma.com/make/2DYtUW39GtnsDpUd5jSu6x/Mobile-App-UI-Prototype?p=f&amp;t=7bdm57yPvNI3NZ8f-0" TargetMode="External" Id="rId55"/><Relationship Type="http://schemas.openxmlformats.org/officeDocument/2006/relationships/hyperlink" Target="#'Screens'!A10" TargetMode="External" Id="rId56"/><Relationship Type="http://schemas.openxmlformats.org/officeDocument/2006/relationships/hyperlink" Target="https://www.figma.com/make/2DYtUW39GtnsDpUd5jSu6x/Mobile-App-UI-Prototype?p=f&amp;t=7bdm57yPvNI3NZ8f-0" TargetMode="External" Id="rId57"/><Relationship Type="http://schemas.openxmlformats.org/officeDocument/2006/relationships/hyperlink" Target="#'Screens'!A10" TargetMode="External" Id="rId58"/><Relationship Type="http://schemas.openxmlformats.org/officeDocument/2006/relationships/hyperlink" Target="https://www.figma.com/make/2DYtUW39GtnsDpUd5jSu6x/Mobile-App-UI-Prototype?p=f&amp;t=7bdm57yPvNI3NZ8f-0" TargetMode="External" Id="rId59"/><Relationship Type="http://schemas.openxmlformats.org/officeDocument/2006/relationships/hyperlink" Target="#'Screens'!A11" TargetMode="External" Id="rId60"/><Relationship Type="http://schemas.openxmlformats.org/officeDocument/2006/relationships/hyperlink" Target="https://www.figma.com/make/2DYtUW39GtnsDpUd5jSu6x/Mobile-App-UI-Prototype?p=f&amp;t=7bdm57yPvNI3NZ8f-0" TargetMode="External" Id="rId61"/><Relationship Type="http://schemas.openxmlformats.org/officeDocument/2006/relationships/hyperlink" Target="#'Screens'!A12" TargetMode="External" Id="rId62"/><Relationship Type="http://schemas.openxmlformats.org/officeDocument/2006/relationships/hyperlink" Target="https://www.figma.com/make/2DYtUW39GtnsDpUd5jSu6x/Mobile-App-UI-Prototype?p=f&amp;t=7bdm57yPvNI3NZ8f-0" TargetMode="External" Id="rId63"/><Relationship Type="http://schemas.openxmlformats.org/officeDocument/2006/relationships/hyperlink" Target="#'Screens'!A4" TargetMode="External" Id="rId64"/><Relationship Type="http://schemas.openxmlformats.org/officeDocument/2006/relationships/hyperlink" Target="https://www.figma.com/make/2DYtUW39GtnsDpUd5jSu6x/Mobile-App-UI-Prototype?p=f&amp;t=7bdm57yPvNI3NZ8f-0" TargetMode="External" Id="rId65"/><Relationship Type="http://schemas.openxmlformats.org/officeDocument/2006/relationships/hyperlink" Target="#'Screens'!A13" TargetMode="External" Id="rId66"/><Relationship Type="http://schemas.openxmlformats.org/officeDocument/2006/relationships/hyperlink" Target="https://www.figma.com/make/2DYtUW39GtnsDpUd5jSu6x/Mobile-App-UI-Prototype?p=f&amp;t=7bdm57yPvNI3NZ8f-0" TargetMode="External" Id="rId67"/><Relationship Type="http://schemas.openxmlformats.org/officeDocument/2006/relationships/hyperlink" Target="#'Screens'!A14" TargetMode="External" Id="rId68"/><Relationship Type="http://schemas.openxmlformats.org/officeDocument/2006/relationships/hyperlink" Target="https://www.figma.com/make/2DYtUW39GtnsDpUd5jSu6x/Mobile-App-UI-Prototype?p=f&amp;t=7bdm57yPvNI3NZ8f-0" TargetMode="External" Id="rId69"/><Relationship Type="http://schemas.openxmlformats.org/officeDocument/2006/relationships/hyperlink" Target="#'Screens'!A13" TargetMode="External" Id="rId70"/><Relationship Type="http://schemas.openxmlformats.org/officeDocument/2006/relationships/hyperlink" Target="https://www.figma.com/make/2DYtUW39GtnsDpUd5jSu6x/Mobile-App-UI-Prototype?p=f&amp;t=7bdm57yPvNI3NZ8f-0" TargetMode="External" Id="rId71"/><Relationship Type="http://schemas.openxmlformats.org/officeDocument/2006/relationships/hyperlink" Target="#'Screens'!A15" TargetMode="External" Id="rId72"/><Relationship Type="http://schemas.openxmlformats.org/officeDocument/2006/relationships/hyperlink" Target="https://www.figma.com/make/2DYtUW39GtnsDpUd5jSu6x/Mobile-App-UI-Prototype?p=f&amp;t=7bdm57yPvNI3NZ8f-0" TargetMode="External" Id="rId73"/><Relationship Type="http://schemas.openxmlformats.org/officeDocument/2006/relationships/hyperlink" Target="#'Screens'!A20" TargetMode="External" Id="rId74"/><Relationship Type="http://schemas.openxmlformats.org/officeDocument/2006/relationships/hyperlink" Target="https://www.figma.com/make/2DYtUW39GtnsDpUd5jSu6x/Mobile-App-UI-Prototype?p=f&amp;t=7bdm57yPvNI3NZ8f-0" TargetMode="External" Id="rId75"/><Relationship Type="http://schemas.openxmlformats.org/officeDocument/2006/relationships/hyperlink" Target="#'Screens'!A16" TargetMode="External" Id="rId76"/><Relationship Type="http://schemas.openxmlformats.org/officeDocument/2006/relationships/hyperlink" Target="https://www.figma.com/make/2DYtUW39GtnsDpUd5jSu6x/Mobile-App-UI-Prototype?p=f&amp;t=7bdm57yPvNI3NZ8f-0" TargetMode="External" Id="rId77"/><Relationship Type="http://schemas.openxmlformats.org/officeDocument/2006/relationships/hyperlink" Target="#'Screens'!A19" TargetMode="External" Id="rId78"/><Relationship Type="http://schemas.openxmlformats.org/officeDocument/2006/relationships/hyperlink" Target="https://www.figma.com/make/2DYtUW39GtnsDpUd5jSu6x/Mobile-App-UI-Prototype?p=f&amp;t=7bdm57yPvNI3NZ8f-0" TargetMode="External" Id="rId79"/><Relationship Type="http://schemas.openxmlformats.org/officeDocument/2006/relationships/hyperlink" Target="#'Screens'!A21" TargetMode="External" Id="rId80"/><Relationship Type="http://schemas.openxmlformats.org/officeDocument/2006/relationships/hyperlink" Target="https://www.figma.com/make/2DYtUW39GtnsDpUd5jSu6x/Mobile-App-UI-Prototype?p=f&amp;t=7bdm57yPvNI3NZ8f-0" TargetMode="External" Id="rId81"/><Relationship Type="http://schemas.openxmlformats.org/officeDocument/2006/relationships/hyperlink" Target="#'Screens'!A18" TargetMode="External" Id="rId82"/><Relationship Type="http://schemas.openxmlformats.org/officeDocument/2006/relationships/hyperlink" Target="https://www.figma.com/make/2DYtUW39GtnsDpUd5jSu6x/Mobile-App-UI-Prototype?p=f&amp;t=7bdm57yPvNI3NZ8f-0" TargetMode="External" Id="rId83"/><Relationship Type="http://schemas.openxmlformats.org/officeDocument/2006/relationships/hyperlink" Target="#'Screens'!A24" TargetMode="External" Id="rId84"/><Relationship Type="http://schemas.openxmlformats.org/officeDocument/2006/relationships/hyperlink" Target="https://www.figma.com/make/2DYtUW39GtnsDpUd5jSu6x/Mobile-App-UI-Prototype?p=f&amp;t=7bdm57yPvNI3NZ8f-0" TargetMode="External" Id="rId85"/><Relationship Type="http://schemas.openxmlformats.org/officeDocument/2006/relationships/hyperlink" Target="#'Screens'!A25" TargetMode="External" Id="rId86"/><Relationship Type="http://schemas.openxmlformats.org/officeDocument/2006/relationships/hyperlink" Target="https://www.figma.com/make/2DYtUW39GtnsDpUd5jSu6x/Mobile-App-UI-Prototype?p=f&amp;t=7bdm57yPvNI3NZ8f-0" TargetMode="External" Id="rId87"/><Relationship Type="http://schemas.openxmlformats.org/officeDocument/2006/relationships/hyperlink" Target="https://www.figma.com/make/2DYtUW39GtnsDpUd5jSu6x/Mobile-App-UI-Prototype?p=f&amp;t=7bdm57yPvNI3NZ8f-0" TargetMode="External" Id="rId88"/><Relationship Type="http://schemas.openxmlformats.org/officeDocument/2006/relationships/hyperlink" Target="https://www.figma.com/make/2DYtUW39GtnsDpUd5jSu6x/Mobile-App-UI-Prototype?p=f&amp;t=7bdm57yPvNI3NZ8f-0" TargetMode="External" Id="rId89"/><Relationship Type="http://schemas.openxmlformats.org/officeDocument/2006/relationships/hyperlink" Target="https://www.figma.com/make/2DYtUW39GtnsDpUd5jSu6x/Mobile-App-UI-Prototype?p=f&amp;t=7bdm57yPvNI3NZ8f-0" TargetMode="External" Id="rId90"/><Relationship Type="http://schemas.openxmlformats.org/officeDocument/2006/relationships/hyperlink" Target="https://www.figma.com/make/2DYtUW39GtnsDpUd5jSu6x/Mobile-App-UI-Prototype?p=f&amp;t=7bdm57yPvNI3NZ8f-0" TargetMode="External" Id="rId9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figma.com/make/2DYtUW39GtnsDpUd5jSu6x/Mobile-App-UI-Prototype?p=f&amp;t=7bdm57yPvNI3NZ8f-0" TargetMode="External" Id="rId1"/><Relationship Type="http://schemas.openxmlformats.org/officeDocument/2006/relationships/hyperlink" Target="../design/screens/01-onboarding-1-every-day-has-a-story.jpg" TargetMode="External" Id="rId2"/><Relationship Type="http://schemas.openxmlformats.org/officeDocument/2006/relationships/hyperlink" Target="https://www.figma.com/make/2DYtUW39GtnsDpUd5jSu6x/Mobile-App-UI-Prototype?p=f&amp;t=7bdm57yPvNI3NZ8f-0" TargetMode="External" Id="rId3"/><Relationship Type="http://schemas.openxmlformats.org/officeDocument/2006/relationships/hyperlink" Target="../design/screens/04-setup-profile.jpg" TargetMode="External" Id="rId4"/><Relationship Type="http://schemas.openxmlformats.org/officeDocument/2006/relationships/hyperlink" Target="https://www.figma.com/make/2DYtUW39GtnsDpUd5jSu6x/Mobile-App-UI-Prototype?p=f&amp;t=7bdm57yPvNI3NZ8f-0" TargetMode="External" Id="rId5"/><Relationship Type="http://schemas.openxmlformats.org/officeDocument/2006/relationships/hyperlink" Target="../design/screens/05-home.jpg" TargetMode="External" Id="rId6"/><Relationship Type="http://schemas.openxmlformats.org/officeDocument/2006/relationships/hyperlink" Target="https://www.figma.com/make/2DYtUW39GtnsDpUd5jSu6x/Mobile-App-UI-Prototype?p=f&amp;t=7bdm57yPvNI3NZ8f-0" TargetMode="External" Id="rId7"/><Relationship Type="http://schemas.openxmlformats.org/officeDocument/2006/relationships/hyperlink" Target="../design/screens/06-discover.jpg" TargetMode="External" Id="rId8"/><Relationship Type="http://schemas.openxmlformats.org/officeDocument/2006/relationships/hyperlink" Target="https://www.figma.com/make/2DYtUW39GtnsDpUd5jSu6x/Mobile-App-UI-Prototype?p=f&amp;t=7bdm57yPvNI3NZ8f-0" TargetMode="External" Id="rId9"/><Relationship Type="http://schemas.openxmlformats.org/officeDocument/2006/relationships/hyperlink" Target="../design/screens/06-discover.jpg" TargetMode="External" Id="rId10"/><Relationship Type="http://schemas.openxmlformats.org/officeDocument/2006/relationships/hyperlink" Target="https://www.figma.com/make/2DYtUW39GtnsDpUd5jSu6x/Mobile-App-UI-Prototype?p=f&amp;t=7bdm57yPvNI3NZ8f-0" TargetMode="External" Id="rId11"/><Relationship Type="http://schemas.openxmlformats.org/officeDocument/2006/relationships/hyperlink" Target="../design/screens/21-category-indian-tales.jpg" TargetMode="External" Id="rId12"/><Relationship Type="http://schemas.openxmlformats.org/officeDocument/2006/relationships/hyperlink" Target="https://www.figma.com/make/2DYtUW39GtnsDpUd5jSu6x/Mobile-App-UI-Prototype?p=f&amp;t=7bdm57yPvNI3NZ8f-0" TargetMode="External" Id="rId13"/><Relationship Type="http://schemas.openxmlformats.org/officeDocument/2006/relationships/hyperlink" Target="../design/screens/22-story-detail.jpg" TargetMode="External" Id="rId14"/><Relationship Type="http://schemas.openxmlformats.org/officeDocument/2006/relationships/hyperlink" Target="https://www.figma.com/make/2DYtUW39GtnsDpUd5jSu6x/Mobile-App-UI-Prototype?p=f&amp;t=7bdm57yPvNI3NZ8f-0" TargetMode="External" Id="rId15"/><Relationship Type="http://schemas.openxmlformats.org/officeDocument/2006/relationships/hyperlink" Target="../design/screens/07-create-story.jpg" TargetMode="External" Id="rId16"/><Relationship Type="http://schemas.openxmlformats.org/officeDocument/2006/relationships/hyperlink" Target="https://www.figma.com/make/2DYtUW39GtnsDpUd5jSu6x/Mobile-App-UI-Prototype?p=f&amp;t=7bdm57yPvNI3NZ8f-0" TargetMode="External" Id="rId17"/><Relationship Type="http://schemas.openxmlformats.org/officeDocument/2006/relationships/hyperlink" Target="../design/screens/09-generating.jpg" TargetMode="External" Id="rId18"/><Relationship Type="http://schemas.openxmlformats.org/officeDocument/2006/relationships/hyperlink" Target="https://www.figma.com/make/2DYtUW39GtnsDpUd5jSu6x/Mobile-App-UI-Prototype?p=f&amp;t=7bdm57yPvNI3NZ8f-0" TargetMode="External" Id="rId19"/><Relationship Type="http://schemas.openxmlformats.org/officeDocument/2006/relationships/hyperlink" Target="../design/screens/10-story-ready.jpg" TargetMode="External" Id="rId20"/><Relationship Type="http://schemas.openxmlformats.org/officeDocument/2006/relationships/hyperlink" Target="https://www.figma.com/make/2DYtUW39GtnsDpUd5jSu6x/Mobile-App-UI-Prototype?p=f&amp;t=7bdm57yPvNI3NZ8f-0" TargetMode="External" Id="rId21"/><Relationship Type="http://schemas.openxmlformats.org/officeDocument/2006/relationships/hyperlink" Target="../design/screens/11-reader.jpg" TargetMode="External" Id="rId22"/><Relationship Type="http://schemas.openxmlformats.org/officeDocument/2006/relationships/hyperlink" Target="https://www.figma.com/make/2DYtUW39GtnsDpUd5jSu6x/Mobile-App-UI-Prototype?p=f&amp;t=7bdm57yPvNI3NZ8f-0" TargetMode="External" Id="rId23"/><Relationship Type="http://schemas.openxmlformats.org/officeDocument/2006/relationships/hyperlink" Target="../design/screens/12-player.jpg" TargetMode="External" Id="rId24"/><Relationship Type="http://schemas.openxmlformats.org/officeDocument/2006/relationships/hyperlink" Target="https://www.figma.com/make/2DYtUW39GtnsDpUd5jSu6x/Mobile-App-UI-Prototype?p=f&amp;t=7bdm57yPvNI3NZ8f-0" TargetMode="External" Id="rId25"/><Relationship Type="http://schemas.openxmlformats.org/officeDocument/2006/relationships/hyperlink" Target="../design/screens/13-player-sleep-timer-sheet.jpg" TargetMode="External" Id="rId26"/><Relationship Type="http://schemas.openxmlformats.org/officeDocument/2006/relationships/hyperlink" Target="https://www.figma.com/make/2DYtUW39GtnsDpUd5jSu6x/Mobile-App-UI-Prototype?p=f&amp;t=7bdm57yPvNI3NZ8f-0" TargetMode="External" Id="rId27"/><Relationship Type="http://schemas.openxmlformats.org/officeDocument/2006/relationships/hyperlink" Target="../design/screens/14-my-stories.jpg" TargetMode="External" Id="rId28"/><Relationship Type="http://schemas.openxmlformats.org/officeDocument/2006/relationships/hyperlink" Target="https://www.figma.com/make/2DYtUW39GtnsDpUd5jSu6x/Mobile-App-UI-Prototype?p=f&amp;t=7bdm57yPvNI3NZ8f-0" TargetMode="External" Id="rId29"/><Relationship Type="http://schemas.openxmlformats.org/officeDocument/2006/relationships/hyperlink" Target="../design/screens/15-profile-settings.jpg" TargetMode="External" Id="rId30"/><Relationship Type="http://schemas.openxmlformats.org/officeDocument/2006/relationships/hyperlink" Target="https://www.figma.com/make/2DYtUW39GtnsDpUd5jSu6x/Mobile-App-UI-Prototype?p=f&amp;t=7bdm57yPvNI3NZ8f-0" TargetMode="External" Id="rId31"/><Relationship Type="http://schemas.openxmlformats.org/officeDocument/2006/relationships/hyperlink" Target="../design/screens/20-child-profiles.jpg" TargetMode="External" Id="rId32"/><Relationship Type="http://schemas.openxmlformats.org/officeDocument/2006/relationships/hyperlink" Target="https://www.figma.com/make/2DYtUW39GtnsDpUd5jSu6x/Mobile-App-UI-Prototype?p=f&amp;t=7bdm57yPvNI3NZ8f-0" TargetMode="External" Id="rId33"/><Relationship Type="http://schemas.openxmlformats.org/officeDocument/2006/relationships/hyperlink" Target="../design/screens/16-subscription.jpg" TargetMode="External" Id="rId34"/><Relationship Type="http://schemas.openxmlformats.org/officeDocument/2006/relationships/hyperlink" Target="https://www.figma.com/make/2DYtUW39GtnsDpUd5jSu6x/Mobile-App-UI-Prototype?p=f&amp;t=7bdm57yPvNI3NZ8f-0" TargetMode="External" Id="rId35"/><Relationship Type="http://schemas.openxmlformats.org/officeDocument/2006/relationships/hyperlink" Target="../design/screens/17-bedtime-reminder.jpg" TargetMode="External" Id="rId36"/><Relationship Type="http://schemas.openxmlformats.org/officeDocument/2006/relationships/hyperlink" Target="https://www.figma.com/make/2DYtUW39GtnsDpUd5jSu6x/Mobile-App-UI-Prototype?p=f&amp;t=7bdm57yPvNI3NZ8f-0" TargetMode="External" Id="rId37"/><Relationship Type="http://schemas.openxmlformats.org/officeDocument/2006/relationships/hyperlink" Target="../design/screens/18-offline-downloads.jpg" TargetMode="External" Id="rId38"/><Relationship Type="http://schemas.openxmlformats.org/officeDocument/2006/relationships/hyperlink" Target="https://www.figma.com/make/2DYtUW39GtnsDpUd5jSu6x/Mobile-App-UI-Prototype?p=f&amp;t=7bdm57yPvNI3NZ8f-0" TargetMode="External" Id="rId39"/><Relationship Type="http://schemas.openxmlformats.org/officeDocument/2006/relationships/hyperlink" Target="../design/screens/19-notifications.jpg" TargetMode="External" Id="rId40"/><Relationship Type="http://schemas.openxmlformats.org/officeDocument/2006/relationships/drawing" Target="/xl/drawings/drawing1.xml" Id="rId41"/></Relationships>
</file>

<file path=xl/worksheets/_rels/sheet8.xml.rels><Relationships xmlns="http://schemas.openxmlformats.org/package/2006/relationships"><Relationship Type="http://schemas.openxmlformats.org/officeDocument/2006/relationships/hyperlink" Target="../design/screens/01-onboarding-1-every-day-has-a-story.jpg" TargetMode="External" Id="rId1"/><Relationship Type="http://schemas.openxmlformats.org/officeDocument/2006/relationships/hyperlink" Target="../design/screens/02-onboarding-2-your-child-the-hero.jpg" TargetMode="External" Id="rId2"/><Relationship Type="http://schemas.openxmlformats.org/officeDocument/2006/relationships/hyperlink" Target="../design/screens/03-onboarding-3-listen-dream-repeat.jpg" TargetMode="External" Id="rId3"/><Relationship Type="http://schemas.openxmlformats.org/officeDocument/2006/relationships/hyperlink" Target="../design/screens/04-setup-profile.jpg" TargetMode="External" Id="rId4"/><Relationship Type="http://schemas.openxmlformats.org/officeDocument/2006/relationships/hyperlink" Target="../design/screens/05-home.jpg" TargetMode="External" Id="rId5"/><Relationship Type="http://schemas.openxmlformats.org/officeDocument/2006/relationships/hyperlink" Target="../design/screens/06-discover.jpg" TargetMode="External" Id="rId6"/><Relationship Type="http://schemas.openxmlformats.org/officeDocument/2006/relationships/hyperlink" Target="../design/screens/21-category-indian-tales.jpg" TargetMode="External" Id="rId7"/><Relationship Type="http://schemas.openxmlformats.org/officeDocument/2006/relationships/hyperlink" Target="../design/screens/22-story-detail.jpg" TargetMode="External" Id="rId8"/><Relationship Type="http://schemas.openxmlformats.org/officeDocument/2006/relationships/hyperlink" Target="../design/screens/07-create-story.jpg" TargetMode="External" Id="rId9"/><Relationship Type="http://schemas.openxmlformats.org/officeDocument/2006/relationships/hyperlink" Target="../design/screens/08-create-story-more-options-and-error.jpg" TargetMode="External" Id="rId10"/><Relationship Type="http://schemas.openxmlformats.org/officeDocument/2006/relationships/hyperlink" Target="../design/screens/09-generating.jpg" TargetMode="External" Id="rId11"/><Relationship Type="http://schemas.openxmlformats.org/officeDocument/2006/relationships/hyperlink" Target="../design/screens/10-story-ready.jpg" TargetMode="External" Id="rId12"/><Relationship Type="http://schemas.openxmlformats.org/officeDocument/2006/relationships/hyperlink" Target="../design/screens/11-reader.jpg" TargetMode="External" Id="rId13"/><Relationship Type="http://schemas.openxmlformats.org/officeDocument/2006/relationships/hyperlink" Target="../design/screens/12-player.jpg" TargetMode="External" Id="rId14"/><Relationship Type="http://schemas.openxmlformats.org/officeDocument/2006/relationships/hyperlink" Target="../design/screens/13-player-sleep-timer-sheet.jpg" TargetMode="External" Id="rId15"/><Relationship Type="http://schemas.openxmlformats.org/officeDocument/2006/relationships/hyperlink" Target="../design/screens/14-my-stories.jpg" TargetMode="External" Id="rId16"/><Relationship Type="http://schemas.openxmlformats.org/officeDocument/2006/relationships/hyperlink" Target="../design/screens/15-profile-settings.jpg" TargetMode="External" Id="rId17"/><Relationship Type="http://schemas.openxmlformats.org/officeDocument/2006/relationships/hyperlink" Target="../design/screens/20-child-profiles.jpg" TargetMode="External" Id="rId18"/><Relationship Type="http://schemas.openxmlformats.org/officeDocument/2006/relationships/hyperlink" Target="../design/screens/16-subscription.jpg" TargetMode="External" Id="rId19"/><Relationship Type="http://schemas.openxmlformats.org/officeDocument/2006/relationships/hyperlink" Target="../design/screens/17-bedtime-reminder.jpg" TargetMode="External" Id="rId20"/><Relationship Type="http://schemas.openxmlformats.org/officeDocument/2006/relationships/hyperlink" Target="../design/screens/18-offline-downloads.jpg" TargetMode="External" Id="rId21"/><Relationship Type="http://schemas.openxmlformats.org/officeDocument/2006/relationships/hyperlink" Target="../design/screens/19-notifications.jpg" TargetMode="External" Id="rId22"/><Relationship Type="http://schemas.openxmlformats.org/officeDocument/2006/relationships/drawing" Target="/xl/drawings/drawing2.xml" Id="rId23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35256F"/>
    <outlinePr summaryBelow="1" summaryRight="1"/>
    <pageSetUpPr/>
  </sheetPr>
  <dimension ref="A1:B35"/>
  <sheetViews>
    <sheetView showGridLines="0" zoomScale="10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LittleStory AI — Jira Board &amp; Delivery Workbook</t>
        </is>
      </c>
    </row>
    <row r="2">
      <c r="A2" s="2" t="inlineStr">
        <is>
          <t>Little Stories. Big Imagination.  ·  Generated 29 Oct 2026 from the master orchestrator prompt and the Figma Make design pack</t>
        </is>
      </c>
    </row>
    <row r="4" ht="18" customHeight="1">
      <c r="A4" s="3" t="inlineStr">
        <is>
          <t>Project</t>
        </is>
      </c>
      <c r="B4" s="4" t="inlineStr">
        <is>
          <t>LittleStory AI – child-friendly AI storytelling app (ages 3–12) with parent controls</t>
        </is>
      </c>
    </row>
    <row r="5" ht="31" customHeight="1">
      <c r="A5" s="3" t="inlineStr">
        <is>
          <t>Objective</t>
        </is>
      </c>
      <c r="B5" s="4" t="inlineStr">
        <is>
          <t>Production-quality, maintainable, accessible, multilingual native Android app that faithfully implements the approved Figma design, with no hardcoded values.</t>
        </is>
      </c>
    </row>
    <row r="6" ht="18" customHeight="1">
      <c r="A6" s="3" t="inlineStr">
        <is>
          <t>Platform</t>
        </is>
      </c>
      <c r="B6" s="4" t="inlineStr">
        <is>
          <t>Native Android · Kotlin · Jetpack Compose · Material 3 (customised)</t>
        </is>
      </c>
    </row>
    <row r="7" ht="31" customHeight="1">
      <c r="A7" s="3" t="inlineStr">
        <is>
          <t>Languages</t>
        </is>
      </c>
      <c r="B7" s="4" t="inlineStr">
        <is>
          <t>MVP: English (default &amp; fallback) and Kannada (ಕನ್ನಡ). Future languages added via resources + registry only (no feature-code change).</t>
        </is>
      </c>
    </row>
    <row r="8" ht="18" customHeight="1">
      <c r="A8" s="3" t="inlineStr">
        <is>
          <t>Design source</t>
        </is>
      </c>
      <c r="B8" s="5" t="inlineStr">
        <is>
          <t>https://www.figma.com/make/2DYtUW39GtnsDpUd5jSu6x/Mobile-App-UI-Prototype?p=f&amp;t=7bdm57yPvNI3NZ8f-0</t>
        </is>
      </c>
    </row>
    <row r="9" ht="31" customHeight="1">
      <c r="A9" s="3" t="inlineStr">
        <is>
          <t>Design pack</t>
        </is>
      </c>
      <c r="B9" s="4" t="inlineStr">
        <is>
          <t>docs/design/ – 22 screenshots (18 screens), design-tokens.json, LittleStory_Figma_Design_Details.md (see 'Screens' and 'Design Gallery' sheets)</t>
        </is>
      </c>
    </row>
    <row r="10" ht="18" customHeight="1">
      <c r="A10" s="3" t="inlineStr">
        <is>
          <t>Repository</t>
        </is>
      </c>
      <c r="B10" s="5" t="inlineStr">
        <is>
          <t>https://github.com/shivayogih/LittleStory</t>
        </is>
      </c>
    </row>
    <row r="11" ht="18" customHeight="1">
      <c r="A11" s="3" t="inlineStr">
        <is>
          <t>Dev environment</t>
        </is>
      </c>
      <c r="B11" s="4" t="inlineStr">
        <is>
          <t>Windows + macOS · Android Studio · Claude Code CLI · GitHub · GitHub Copilot</t>
        </is>
      </c>
    </row>
    <row r="12" ht="31" customHeight="1">
      <c r="A12" s="3" t="inlineStr">
        <is>
          <t>MVP scope</t>
        </is>
      </c>
      <c r="B12" s="4" t="inlineStr">
        <is>
          <t>18 designed screens with deterministic local mock data in EN/KN; simulated story generation, narration, downloads and demo subscription (clearly labelled).</t>
        </is>
      </c>
    </row>
    <row r="13" ht="31" customHeight="1">
      <c r="A13" s="3" t="inlineStr">
        <is>
          <t>Out of scope (MVP)</t>
        </is>
      </c>
      <c r="B13" s="4" t="inlineStr">
        <is>
          <t>Real AI provider, backend, auth, cloud sync, analytics, real payments, production TTS/streaming, remote notifications, runtime machine translation, languages beyond EN/KN in the shipped UI.</t>
        </is>
      </c>
    </row>
    <row r="14" ht="31" customHeight="1">
      <c r="A14" s="3" t="inlineStr">
        <is>
          <t>Architecture principles</t>
        </is>
      </c>
      <c r="B14" s="4" t="inlineStr">
        <is>
          <t>Clean layers (UI → ViewModel → use case → repository) · immutable UiState + StateFlow · design tokens only · string resources only (UiText in VMs) · central AppConfig &amp; feature flags · per-language mock JSON · Hilt DI · no circular module deps</t>
        </is>
      </c>
    </row>
    <row r="15" ht="31" customHeight="1">
      <c r="A15" s="3" t="inlineStr">
        <is>
          <t>No-hardcoding policy</t>
        </is>
      </c>
      <c r="B15" s="4" t="inlineStr">
        <is>
          <t>Text → strings.xml (EN + KN) · colours/dims/type → design tokens · limits/timings/options → AppConfig · routes → typed destinations · mock data → assets/mock JSON · versions → libs.versions.toml · languages → SupportedLanguage registry</t>
        </is>
      </c>
    </row>
    <row r="16" ht="31" customHeight="1">
      <c r="A16" s="3" t="inlineStr">
        <is>
          <t>Approval rules</t>
        </is>
      </c>
      <c r="B16" s="4" t="inlineStr">
        <is>
          <t>A Discovery (read-only) · B Documentation · C Implementation · D Push/PR · E Merge (owner only) · F Release (owner only). One approval never implies the next.</t>
        </is>
      </c>
    </row>
    <row r="17" ht="31" customHeight="1">
      <c r="A17" s="3" t="inlineStr">
        <is>
          <t>Branch strategy</t>
        </is>
      </c>
      <c r="B17" s="4" t="inlineStr">
        <is>
          <t>main (release) ← development (integration) ← feature/LS-###-slug · fix/LS-###-slug. Every PR targets development; owner reviews and merges.</t>
        </is>
      </c>
    </row>
    <row r="18" ht="18" customHeight="1">
      <c r="A18" s="3" t="inlineStr">
        <is>
          <t>Current milestone</t>
        </is>
      </c>
      <c r="B18" s="4" t="inlineStr">
        <is>
          <t>P1 Requirements &amp; planning — Approval B granted 29 Oct 2026; docs, prompts, CLAUDE.md and copilot instructions drafted on claude/project-thread-veobz7, awaiting owner review. P0 discovery (LS-001, LS-002) done.</t>
        </is>
      </c>
    </row>
    <row r="19" ht="31" customHeight="1">
      <c r="A19" s="3" t="inlineStr">
        <is>
          <t>Key risks</t>
        </is>
      </c>
      <c r="B19" s="4" t="inlineStr">
        <is>
          <t>Old 'LittleKatha' brand in designs · 7 design languages vs EN/KN · fonts lack Kannada glyphs · missing designs (splash, language prefs, privacy, help) · contrast &amp; touch targets · Kannada reviewer availability. See 'Risks &amp; Questions' · cloud workspace cannot build Android (R-21) · default branch misconfigured (R-22).</t>
        </is>
      </c>
    </row>
    <row r="21">
      <c r="A21" s="6" t="inlineStr">
        <is>
          <t>Progress (live)</t>
        </is>
      </c>
    </row>
    <row r="22">
      <c r="A22" s="7" t="inlineStr">
        <is>
          <t>Tickets total</t>
        </is>
      </c>
      <c r="B22" s="8">
        <f>COUNTA(Backlog!$A$2:$A$300)</f>
        <v/>
      </c>
    </row>
    <row r="23">
      <c r="A23" s="7" t="inlineStr">
        <is>
          <t>Done</t>
        </is>
      </c>
      <c r="B23" s="8">
        <f>COUNTIF(Backlog!$AD$2:$AD$300,"Done")</f>
        <v/>
      </c>
    </row>
    <row r="24">
      <c r="A24" s="7" t="inlineStr">
        <is>
          <t>In progress / in review</t>
        </is>
      </c>
      <c r="B24" s="8">
        <f>COUNTIF(Backlog!$AD$2:$AD$300,"In Progress")+COUNTIF(Backlog!$AD$2:$AD$300,"In Review")</f>
        <v/>
      </c>
    </row>
    <row r="25">
      <c r="A25" s="7" t="inlineStr">
        <is>
          <t>Blocked / needs clarification</t>
        </is>
      </c>
      <c r="B25" s="8">
        <f>COUNTIF(Backlog!$AD$2:$AD$300,"Blocked")+COUNTIF(Backlog!$AD$2:$AD$300,"Needs Clarification")</f>
        <v/>
      </c>
    </row>
    <row r="26">
      <c r="A26" s="7" t="inlineStr">
        <is>
          <t>Story points total</t>
        </is>
      </c>
      <c r="B26" s="8">
        <f>SUM(Backlog!$U$2:$U$300)</f>
        <v/>
      </c>
    </row>
    <row r="27">
      <c r="A27" s="7" t="inlineStr">
        <is>
          <t>Story points done</t>
        </is>
      </c>
      <c r="B27" s="8">
        <f>SUMIF(Backlog!$AD$2:$AD$300,"Done",Backlog!$U$2:$U$300)</f>
        <v/>
      </c>
    </row>
    <row r="28">
      <c r="A28" s="7" t="inlineStr">
        <is>
          <t>% points complete</t>
        </is>
      </c>
      <c r="B28" s="9">
        <f>IF(B26=0,0,B27/B26)</f>
        <v/>
      </c>
    </row>
    <row r="30">
      <c r="A30" s="6" t="inlineStr">
        <is>
          <t>How to use</t>
        </is>
      </c>
    </row>
    <row r="31">
      <c r="A31" s="7" t="inlineStr">
        <is>
          <t>Board</t>
        </is>
      </c>
      <c r="B31" s="4" t="inlineStr">
        <is>
          <t>Kanban view – updates automatically when you change Status in 'Backlog'.</t>
        </is>
      </c>
    </row>
    <row r="32">
      <c r="A32" s="7" t="inlineStr">
        <is>
          <t>Backlog</t>
        </is>
      </c>
      <c r="B32" s="4" t="inlineStr">
        <is>
          <t>Edit Status, Assignee, PR Link, Test Evidence, Actual Result, Kannada Translation Status (dropdowns provided). Do not rename Issue Keys.</t>
        </is>
      </c>
    </row>
    <row r="33">
      <c r="A33" s="7" t="inlineStr">
        <is>
          <t>Screens / Design Gallery</t>
        </is>
      </c>
      <c r="B33" s="4" t="inlineStr">
        <is>
          <t>Screenshot thumbnails, full design details, links to the full screenshots in docs/design/screens/ and to Figma.</t>
        </is>
      </c>
    </row>
    <row r="34">
      <c r="A34" s="7" t="inlineStr">
        <is>
          <t>Translations</t>
        </is>
      </c>
      <c r="B34" s="4" t="inlineStr">
        <is>
          <t>Fill the Kannada column; keep status 'Needs native review' until a fluent reviewer approves.</t>
        </is>
      </c>
    </row>
    <row r="35">
      <c r="A35" s="7" t="inlineStr">
        <is>
          <t>Legend</t>
        </is>
      </c>
      <c r="B35" s="4" t="inlineStr">
        <is>
          <t>Editable columns have a cream header note. Grey 'Board Key' column in Backlog is a formula – do not edit.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977"/>
    <outlinePr summaryBelow="1" summaryRight="1"/>
    <pageSetUpPr/>
  </sheetPr>
  <dimension ref="A1:H87"/>
  <sheetViews>
    <sheetView showGridLines="0" zoomScale="10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Kanban Board</t>
        </is>
      </c>
    </row>
    <row r="2">
      <c r="A2" s="2" t="inlineStr">
        <is>
          <t>Live view of the Backlog sheet – change a ticket's Status there and it moves here. Columns list 'Key · Summary'.</t>
        </is>
      </c>
    </row>
    <row r="4">
      <c r="B4" s="10" t="inlineStr">
        <is>
          <t>To Do</t>
        </is>
      </c>
      <c r="C4" s="11" t="inlineStr">
        <is>
          <t>In Progress</t>
        </is>
      </c>
      <c r="D4" s="12" t="inlineStr">
        <is>
          <t>In Review</t>
        </is>
      </c>
      <c r="E4" s="13" t="inlineStr">
        <is>
          <t>Blocked</t>
        </is>
      </c>
      <c r="F4" s="14" t="inlineStr">
        <is>
          <t>Done</t>
        </is>
      </c>
      <c r="H4" s="2" t="inlineStr">
        <is>
          <t>'Needs Clarification' tickets appear in Dashboard → By status.</t>
        </is>
      </c>
    </row>
    <row r="5">
      <c r="B5" s="15">
        <f>COUNTIF(Backlog!$AD$2:$AD$300,"To Do")&amp;" tickets · "&amp;SUMIF(Backlog!$AD$2:$AD$300,"To Do",Backlog!$U$2:$U$300)&amp;" pts"</f>
        <v/>
      </c>
      <c r="C5" s="15">
        <f>COUNTIF(Backlog!$AD$2:$AD$300,"In Progress")&amp;" tickets · "&amp;SUMIF(Backlog!$AD$2:$AD$300,"In Progress",Backlog!$U$2:$U$300)&amp;" pts"</f>
        <v/>
      </c>
      <c r="D5" s="15">
        <f>COUNTIF(Backlog!$AD$2:$AD$300,"In Review")&amp;" tickets · "&amp;SUMIF(Backlog!$AD$2:$AD$300,"In Review",Backlog!$U$2:$U$300)&amp;" pts"</f>
        <v/>
      </c>
      <c r="E5" s="15">
        <f>COUNTIF(Backlog!$AD$2:$AD$300,"Blocked")&amp;" tickets · "&amp;SUMIF(Backlog!$AD$2:$AD$300,"Blocked",Backlog!$U$2:$U$300)&amp;" pts"</f>
        <v/>
      </c>
      <c r="F5" s="15">
        <f>COUNTIF(Backlog!$AD$2:$AD$300,"Done")&amp;" tickets · "&amp;SUMIF(Backlog!$AD$2:$AD$300,"Done",Backlog!$U$2:$U$300)&amp;" pts"</f>
        <v/>
      </c>
    </row>
    <row r="6" ht="30" customHeight="1">
      <c r="B6" s="16">
        <f>IFERROR(INDEX(Backlog!$A$2:$A$300,MATCH("To Do|1",Backlog!$AL$2:$AL$300,0))&amp;" · "&amp;INDEX(Backlog!$D$2:$D$300,MATCH("To Do|1",Backlog!$AL$2:$AL$300,0)),"")</f>
        <v/>
      </c>
      <c r="C6" s="16">
        <f>IFERROR(INDEX(Backlog!$A$2:$A$300,MATCH("In Progress|1",Backlog!$AL$2:$AL$300,0))&amp;" · "&amp;INDEX(Backlog!$D$2:$D$300,MATCH("In Progress|1",Backlog!$AL$2:$AL$300,0)),"")</f>
        <v/>
      </c>
      <c r="D6" s="16">
        <f>IFERROR(INDEX(Backlog!$A$2:$A$300,MATCH("In Review|1",Backlog!$AL$2:$AL$300,0))&amp;" · "&amp;INDEX(Backlog!$D$2:$D$300,MATCH("In Review|1",Backlog!$AL$2:$AL$300,0)),"")</f>
        <v/>
      </c>
      <c r="E6" s="16">
        <f>IFERROR(INDEX(Backlog!$A$2:$A$300,MATCH("Blocked|1",Backlog!$AL$2:$AL$300,0))&amp;" · "&amp;INDEX(Backlog!$D$2:$D$300,MATCH("Blocked|1",Backlog!$AL$2:$AL$300,0)),"")</f>
        <v/>
      </c>
      <c r="F6" s="16">
        <f>IFERROR(INDEX(Backlog!$A$2:$A$300,MATCH("Done|1",Backlog!$AL$2:$AL$300,0))&amp;" · "&amp;INDEX(Backlog!$D$2:$D$300,MATCH("Done|1",Backlog!$AL$2:$AL$300,0)),"")</f>
        <v/>
      </c>
    </row>
    <row r="7" ht="30" customHeight="1">
      <c r="B7" s="16">
        <f>IFERROR(INDEX(Backlog!$A$2:$A$300,MATCH("To Do|2",Backlog!$AL$2:$AL$300,0))&amp;" · "&amp;INDEX(Backlog!$D$2:$D$300,MATCH("To Do|2",Backlog!$AL$2:$AL$300,0)),"")</f>
        <v/>
      </c>
      <c r="C7" s="16">
        <f>IFERROR(INDEX(Backlog!$A$2:$A$300,MATCH("In Progress|2",Backlog!$AL$2:$AL$300,0))&amp;" · "&amp;INDEX(Backlog!$D$2:$D$300,MATCH("In Progress|2",Backlog!$AL$2:$AL$300,0)),"")</f>
        <v/>
      </c>
      <c r="D7" s="16">
        <f>IFERROR(INDEX(Backlog!$A$2:$A$300,MATCH("In Review|2",Backlog!$AL$2:$AL$300,0))&amp;" · "&amp;INDEX(Backlog!$D$2:$D$300,MATCH("In Review|2",Backlog!$AL$2:$AL$300,0)),"")</f>
        <v/>
      </c>
      <c r="E7" s="16">
        <f>IFERROR(INDEX(Backlog!$A$2:$A$300,MATCH("Blocked|2",Backlog!$AL$2:$AL$300,0))&amp;" · "&amp;INDEX(Backlog!$D$2:$D$300,MATCH("Blocked|2",Backlog!$AL$2:$AL$300,0)),"")</f>
        <v/>
      </c>
      <c r="F7" s="16">
        <f>IFERROR(INDEX(Backlog!$A$2:$A$300,MATCH("Done|2",Backlog!$AL$2:$AL$300,0))&amp;" · "&amp;INDEX(Backlog!$D$2:$D$300,MATCH("Done|2",Backlog!$AL$2:$AL$300,0)),"")</f>
        <v/>
      </c>
    </row>
    <row r="8" ht="30" customHeight="1">
      <c r="B8" s="16">
        <f>IFERROR(INDEX(Backlog!$A$2:$A$300,MATCH("To Do|3",Backlog!$AL$2:$AL$300,0))&amp;" · "&amp;INDEX(Backlog!$D$2:$D$300,MATCH("To Do|3",Backlog!$AL$2:$AL$300,0)),"")</f>
        <v/>
      </c>
      <c r="C8" s="16">
        <f>IFERROR(INDEX(Backlog!$A$2:$A$300,MATCH("In Progress|3",Backlog!$AL$2:$AL$300,0))&amp;" · "&amp;INDEX(Backlog!$D$2:$D$300,MATCH("In Progress|3",Backlog!$AL$2:$AL$300,0)),"")</f>
        <v/>
      </c>
      <c r="D8" s="16">
        <f>IFERROR(INDEX(Backlog!$A$2:$A$300,MATCH("In Review|3",Backlog!$AL$2:$AL$300,0))&amp;" · "&amp;INDEX(Backlog!$D$2:$D$300,MATCH("In Review|3",Backlog!$AL$2:$AL$300,0)),"")</f>
        <v/>
      </c>
      <c r="E8" s="16">
        <f>IFERROR(INDEX(Backlog!$A$2:$A$300,MATCH("Blocked|3",Backlog!$AL$2:$AL$300,0))&amp;" · "&amp;INDEX(Backlog!$D$2:$D$300,MATCH("Blocked|3",Backlog!$AL$2:$AL$300,0)),"")</f>
        <v/>
      </c>
      <c r="F8" s="16">
        <f>IFERROR(INDEX(Backlog!$A$2:$A$300,MATCH("Done|3",Backlog!$AL$2:$AL$300,0))&amp;" · "&amp;INDEX(Backlog!$D$2:$D$300,MATCH("Done|3",Backlog!$AL$2:$AL$300,0)),"")</f>
        <v/>
      </c>
    </row>
    <row r="9" ht="30" customHeight="1">
      <c r="B9" s="16">
        <f>IFERROR(INDEX(Backlog!$A$2:$A$300,MATCH("To Do|4",Backlog!$AL$2:$AL$300,0))&amp;" · "&amp;INDEX(Backlog!$D$2:$D$300,MATCH("To Do|4",Backlog!$AL$2:$AL$300,0)),"")</f>
        <v/>
      </c>
      <c r="C9" s="16">
        <f>IFERROR(INDEX(Backlog!$A$2:$A$300,MATCH("In Progress|4",Backlog!$AL$2:$AL$300,0))&amp;" · "&amp;INDEX(Backlog!$D$2:$D$300,MATCH("In Progress|4",Backlog!$AL$2:$AL$300,0)),"")</f>
        <v/>
      </c>
      <c r="D9" s="16">
        <f>IFERROR(INDEX(Backlog!$A$2:$A$300,MATCH("In Review|4",Backlog!$AL$2:$AL$300,0))&amp;" · "&amp;INDEX(Backlog!$D$2:$D$300,MATCH("In Review|4",Backlog!$AL$2:$AL$300,0)),"")</f>
        <v/>
      </c>
      <c r="E9" s="16">
        <f>IFERROR(INDEX(Backlog!$A$2:$A$300,MATCH("Blocked|4",Backlog!$AL$2:$AL$300,0))&amp;" · "&amp;INDEX(Backlog!$D$2:$D$300,MATCH("Blocked|4",Backlog!$AL$2:$AL$300,0)),"")</f>
        <v/>
      </c>
      <c r="F9" s="16">
        <f>IFERROR(INDEX(Backlog!$A$2:$A$300,MATCH("Done|4",Backlog!$AL$2:$AL$300,0))&amp;" · "&amp;INDEX(Backlog!$D$2:$D$300,MATCH("Done|4",Backlog!$AL$2:$AL$300,0)),"")</f>
        <v/>
      </c>
    </row>
    <row r="10" ht="30" customHeight="1">
      <c r="B10" s="16">
        <f>IFERROR(INDEX(Backlog!$A$2:$A$300,MATCH("To Do|5",Backlog!$AL$2:$AL$300,0))&amp;" · "&amp;INDEX(Backlog!$D$2:$D$300,MATCH("To Do|5",Backlog!$AL$2:$AL$300,0)),"")</f>
        <v/>
      </c>
      <c r="C10" s="16">
        <f>IFERROR(INDEX(Backlog!$A$2:$A$300,MATCH("In Progress|5",Backlog!$AL$2:$AL$300,0))&amp;" · "&amp;INDEX(Backlog!$D$2:$D$300,MATCH("In Progress|5",Backlog!$AL$2:$AL$300,0)),"")</f>
        <v/>
      </c>
      <c r="D10" s="16">
        <f>IFERROR(INDEX(Backlog!$A$2:$A$300,MATCH("In Review|5",Backlog!$AL$2:$AL$300,0))&amp;" · "&amp;INDEX(Backlog!$D$2:$D$300,MATCH("In Review|5",Backlog!$AL$2:$AL$300,0)),"")</f>
        <v/>
      </c>
      <c r="E10" s="16">
        <f>IFERROR(INDEX(Backlog!$A$2:$A$300,MATCH("Blocked|5",Backlog!$AL$2:$AL$300,0))&amp;" · "&amp;INDEX(Backlog!$D$2:$D$300,MATCH("Blocked|5",Backlog!$AL$2:$AL$300,0)),"")</f>
        <v/>
      </c>
      <c r="F10" s="16">
        <f>IFERROR(INDEX(Backlog!$A$2:$A$300,MATCH("Done|5",Backlog!$AL$2:$AL$300,0))&amp;" · "&amp;INDEX(Backlog!$D$2:$D$300,MATCH("Done|5",Backlog!$AL$2:$AL$300,0)),"")</f>
        <v/>
      </c>
    </row>
    <row r="11" ht="30" customHeight="1">
      <c r="B11" s="16">
        <f>IFERROR(INDEX(Backlog!$A$2:$A$300,MATCH("To Do|6",Backlog!$AL$2:$AL$300,0))&amp;" · "&amp;INDEX(Backlog!$D$2:$D$300,MATCH("To Do|6",Backlog!$AL$2:$AL$300,0)),"")</f>
        <v/>
      </c>
      <c r="C11" s="16">
        <f>IFERROR(INDEX(Backlog!$A$2:$A$300,MATCH("In Progress|6",Backlog!$AL$2:$AL$300,0))&amp;" · "&amp;INDEX(Backlog!$D$2:$D$300,MATCH("In Progress|6",Backlog!$AL$2:$AL$300,0)),"")</f>
        <v/>
      </c>
      <c r="D11" s="16">
        <f>IFERROR(INDEX(Backlog!$A$2:$A$300,MATCH("In Review|6",Backlog!$AL$2:$AL$300,0))&amp;" · "&amp;INDEX(Backlog!$D$2:$D$300,MATCH("In Review|6",Backlog!$AL$2:$AL$300,0)),"")</f>
        <v/>
      </c>
      <c r="E11" s="16">
        <f>IFERROR(INDEX(Backlog!$A$2:$A$300,MATCH("Blocked|6",Backlog!$AL$2:$AL$300,0))&amp;" · "&amp;INDEX(Backlog!$D$2:$D$300,MATCH("Blocked|6",Backlog!$AL$2:$AL$300,0)),"")</f>
        <v/>
      </c>
      <c r="F11" s="16">
        <f>IFERROR(INDEX(Backlog!$A$2:$A$300,MATCH("Done|6",Backlog!$AL$2:$AL$300,0))&amp;" · "&amp;INDEX(Backlog!$D$2:$D$300,MATCH("Done|6",Backlog!$AL$2:$AL$300,0)),"")</f>
        <v/>
      </c>
    </row>
    <row r="12" ht="30" customHeight="1">
      <c r="B12" s="16">
        <f>IFERROR(INDEX(Backlog!$A$2:$A$300,MATCH("To Do|7",Backlog!$AL$2:$AL$300,0))&amp;" · "&amp;INDEX(Backlog!$D$2:$D$300,MATCH("To Do|7",Backlog!$AL$2:$AL$300,0)),"")</f>
        <v/>
      </c>
      <c r="C12" s="16">
        <f>IFERROR(INDEX(Backlog!$A$2:$A$300,MATCH("In Progress|7",Backlog!$AL$2:$AL$300,0))&amp;" · "&amp;INDEX(Backlog!$D$2:$D$300,MATCH("In Progress|7",Backlog!$AL$2:$AL$300,0)),"")</f>
        <v/>
      </c>
      <c r="D12" s="16">
        <f>IFERROR(INDEX(Backlog!$A$2:$A$300,MATCH("In Review|7",Backlog!$AL$2:$AL$300,0))&amp;" · "&amp;INDEX(Backlog!$D$2:$D$300,MATCH("In Review|7",Backlog!$AL$2:$AL$300,0)),"")</f>
        <v/>
      </c>
      <c r="E12" s="16">
        <f>IFERROR(INDEX(Backlog!$A$2:$A$300,MATCH("Blocked|7",Backlog!$AL$2:$AL$300,0))&amp;" · "&amp;INDEX(Backlog!$D$2:$D$300,MATCH("Blocked|7",Backlog!$AL$2:$AL$300,0)),"")</f>
        <v/>
      </c>
      <c r="F12" s="16">
        <f>IFERROR(INDEX(Backlog!$A$2:$A$300,MATCH("Done|7",Backlog!$AL$2:$AL$300,0))&amp;" · "&amp;INDEX(Backlog!$D$2:$D$300,MATCH("Done|7",Backlog!$AL$2:$AL$300,0)),"")</f>
        <v/>
      </c>
    </row>
    <row r="13" ht="30" customHeight="1">
      <c r="B13" s="16">
        <f>IFERROR(INDEX(Backlog!$A$2:$A$300,MATCH("To Do|8",Backlog!$AL$2:$AL$300,0))&amp;" · "&amp;INDEX(Backlog!$D$2:$D$300,MATCH("To Do|8",Backlog!$AL$2:$AL$300,0)),"")</f>
        <v/>
      </c>
      <c r="C13" s="16">
        <f>IFERROR(INDEX(Backlog!$A$2:$A$300,MATCH("In Progress|8",Backlog!$AL$2:$AL$300,0))&amp;" · "&amp;INDEX(Backlog!$D$2:$D$300,MATCH("In Progress|8",Backlog!$AL$2:$AL$300,0)),"")</f>
        <v/>
      </c>
      <c r="D13" s="16">
        <f>IFERROR(INDEX(Backlog!$A$2:$A$300,MATCH("In Review|8",Backlog!$AL$2:$AL$300,0))&amp;" · "&amp;INDEX(Backlog!$D$2:$D$300,MATCH("In Review|8",Backlog!$AL$2:$AL$300,0)),"")</f>
        <v/>
      </c>
      <c r="E13" s="16">
        <f>IFERROR(INDEX(Backlog!$A$2:$A$300,MATCH("Blocked|8",Backlog!$AL$2:$AL$300,0))&amp;" · "&amp;INDEX(Backlog!$D$2:$D$300,MATCH("Blocked|8",Backlog!$AL$2:$AL$300,0)),"")</f>
        <v/>
      </c>
      <c r="F13" s="16">
        <f>IFERROR(INDEX(Backlog!$A$2:$A$300,MATCH("Done|8",Backlog!$AL$2:$AL$300,0))&amp;" · "&amp;INDEX(Backlog!$D$2:$D$300,MATCH("Done|8",Backlog!$AL$2:$AL$300,0)),"")</f>
        <v/>
      </c>
    </row>
    <row r="14" ht="30" customHeight="1">
      <c r="B14" s="16">
        <f>IFERROR(INDEX(Backlog!$A$2:$A$300,MATCH("To Do|9",Backlog!$AL$2:$AL$300,0))&amp;" · "&amp;INDEX(Backlog!$D$2:$D$300,MATCH("To Do|9",Backlog!$AL$2:$AL$300,0)),"")</f>
        <v/>
      </c>
      <c r="C14" s="16">
        <f>IFERROR(INDEX(Backlog!$A$2:$A$300,MATCH("In Progress|9",Backlog!$AL$2:$AL$300,0))&amp;" · "&amp;INDEX(Backlog!$D$2:$D$300,MATCH("In Progress|9",Backlog!$AL$2:$AL$300,0)),"")</f>
        <v/>
      </c>
      <c r="D14" s="16">
        <f>IFERROR(INDEX(Backlog!$A$2:$A$300,MATCH("In Review|9",Backlog!$AL$2:$AL$300,0))&amp;" · "&amp;INDEX(Backlog!$D$2:$D$300,MATCH("In Review|9",Backlog!$AL$2:$AL$300,0)),"")</f>
        <v/>
      </c>
      <c r="E14" s="16">
        <f>IFERROR(INDEX(Backlog!$A$2:$A$300,MATCH("Blocked|9",Backlog!$AL$2:$AL$300,0))&amp;" · "&amp;INDEX(Backlog!$D$2:$D$300,MATCH("Blocked|9",Backlog!$AL$2:$AL$300,0)),"")</f>
        <v/>
      </c>
      <c r="F14" s="16">
        <f>IFERROR(INDEX(Backlog!$A$2:$A$300,MATCH("Done|9",Backlog!$AL$2:$AL$300,0))&amp;" · "&amp;INDEX(Backlog!$D$2:$D$300,MATCH("Done|9",Backlog!$AL$2:$AL$300,0)),"")</f>
        <v/>
      </c>
    </row>
    <row r="15" ht="30" customHeight="1">
      <c r="B15" s="16">
        <f>IFERROR(INDEX(Backlog!$A$2:$A$300,MATCH("To Do|10",Backlog!$AL$2:$AL$300,0))&amp;" · "&amp;INDEX(Backlog!$D$2:$D$300,MATCH("To Do|10",Backlog!$AL$2:$AL$300,0)),"")</f>
        <v/>
      </c>
      <c r="C15" s="16">
        <f>IFERROR(INDEX(Backlog!$A$2:$A$300,MATCH("In Progress|10",Backlog!$AL$2:$AL$300,0))&amp;" · "&amp;INDEX(Backlog!$D$2:$D$300,MATCH("In Progress|10",Backlog!$AL$2:$AL$300,0)),"")</f>
        <v/>
      </c>
      <c r="D15" s="16">
        <f>IFERROR(INDEX(Backlog!$A$2:$A$300,MATCH("In Review|10",Backlog!$AL$2:$AL$300,0))&amp;" · "&amp;INDEX(Backlog!$D$2:$D$300,MATCH("In Review|10",Backlog!$AL$2:$AL$300,0)),"")</f>
        <v/>
      </c>
      <c r="E15" s="16">
        <f>IFERROR(INDEX(Backlog!$A$2:$A$300,MATCH("Blocked|10",Backlog!$AL$2:$AL$300,0))&amp;" · "&amp;INDEX(Backlog!$D$2:$D$300,MATCH("Blocked|10",Backlog!$AL$2:$AL$300,0)),"")</f>
        <v/>
      </c>
      <c r="F15" s="16">
        <f>IFERROR(INDEX(Backlog!$A$2:$A$300,MATCH("Done|10",Backlog!$AL$2:$AL$300,0))&amp;" · "&amp;INDEX(Backlog!$D$2:$D$300,MATCH("Done|10",Backlog!$AL$2:$AL$300,0)),"")</f>
        <v/>
      </c>
    </row>
    <row r="16" ht="30" customHeight="1">
      <c r="B16" s="16">
        <f>IFERROR(INDEX(Backlog!$A$2:$A$300,MATCH("To Do|11",Backlog!$AL$2:$AL$300,0))&amp;" · "&amp;INDEX(Backlog!$D$2:$D$300,MATCH("To Do|11",Backlog!$AL$2:$AL$300,0)),"")</f>
        <v/>
      </c>
      <c r="C16" s="16">
        <f>IFERROR(INDEX(Backlog!$A$2:$A$300,MATCH("In Progress|11",Backlog!$AL$2:$AL$300,0))&amp;" · "&amp;INDEX(Backlog!$D$2:$D$300,MATCH("In Progress|11",Backlog!$AL$2:$AL$300,0)),"")</f>
        <v/>
      </c>
      <c r="D16" s="16">
        <f>IFERROR(INDEX(Backlog!$A$2:$A$300,MATCH("In Review|11",Backlog!$AL$2:$AL$300,0))&amp;" · "&amp;INDEX(Backlog!$D$2:$D$300,MATCH("In Review|11",Backlog!$AL$2:$AL$300,0)),"")</f>
        <v/>
      </c>
      <c r="E16" s="16">
        <f>IFERROR(INDEX(Backlog!$A$2:$A$300,MATCH("Blocked|11",Backlog!$AL$2:$AL$300,0))&amp;" · "&amp;INDEX(Backlog!$D$2:$D$300,MATCH("Blocked|11",Backlog!$AL$2:$AL$300,0)),"")</f>
        <v/>
      </c>
      <c r="F16" s="16">
        <f>IFERROR(INDEX(Backlog!$A$2:$A$300,MATCH("Done|11",Backlog!$AL$2:$AL$300,0))&amp;" · "&amp;INDEX(Backlog!$D$2:$D$300,MATCH("Done|11",Backlog!$AL$2:$AL$300,0)),"")</f>
        <v/>
      </c>
    </row>
    <row r="17" ht="30" customHeight="1">
      <c r="B17" s="16">
        <f>IFERROR(INDEX(Backlog!$A$2:$A$300,MATCH("To Do|12",Backlog!$AL$2:$AL$300,0))&amp;" · "&amp;INDEX(Backlog!$D$2:$D$300,MATCH("To Do|12",Backlog!$AL$2:$AL$300,0)),"")</f>
        <v/>
      </c>
      <c r="C17" s="16">
        <f>IFERROR(INDEX(Backlog!$A$2:$A$300,MATCH("In Progress|12",Backlog!$AL$2:$AL$300,0))&amp;" · "&amp;INDEX(Backlog!$D$2:$D$300,MATCH("In Progress|12",Backlog!$AL$2:$AL$300,0)),"")</f>
        <v/>
      </c>
      <c r="D17" s="16">
        <f>IFERROR(INDEX(Backlog!$A$2:$A$300,MATCH("In Review|12",Backlog!$AL$2:$AL$300,0))&amp;" · "&amp;INDEX(Backlog!$D$2:$D$300,MATCH("In Review|12",Backlog!$AL$2:$AL$300,0)),"")</f>
        <v/>
      </c>
      <c r="E17" s="16">
        <f>IFERROR(INDEX(Backlog!$A$2:$A$300,MATCH("Blocked|12",Backlog!$AL$2:$AL$300,0))&amp;" · "&amp;INDEX(Backlog!$D$2:$D$300,MATCH("Blocked|12",Backlog!$AL$2:$AL$300,0)),"")</f>
        <v/>
      </c>
      <c r="F17" s="16">
        <f>IFERROR(INDEX(Backlog!$A$2:$A$300,MATCH("Done|12",Backlog!$AL$2:$AL$300,0))&amp;" · "&amp;INDEX(Backlog!$D$2:$D$300,MATCH("Done|12",Backlog!$AL$2:$AL$300,0)),"")</f>
        <v/>
      </c>
    </row>
    <row r="18" ht="30" customHeight="1">
      <c r="B18" s="16">
        <f>IFERROR(INDEX(Backlog!$A$2:$A$300,MATCH("To Do|13",Backlog!$AL$2:$AL$300,0))&amp;" · "&amp;INDEX(Backlog!$D$2:$D$300,MATCH("To Do|13",Backlog!$AL$2:$AL$300,0)),"")</f>
        <v/>
      </c>
      <c r="C18" s="16">
        <f>IFERROR(INDEX(Backlog!$A$2:$A$300,MATCH("In Progress|13",Backlog!$AL$2:$AL$300,0))&amp;" · "&amp;INDEX(Backlog!$D$2:$D$300,MATCH("In Progress|13",Backlog!$AL$2:$AL$300,0)),"")</f>
        <v/>
      </c>
      <c r="D18" s="16">
        <f>IFERROR(INDEX(Backlog!$A$2:$A$300,MATCH("In Review|13",Backlog!$AL$2:$AL$300,0))&amp;" · "&amp;INDEX(Backlog!$D$2:$D$300,MATCH("In Review|13",Backlog!$AL$2:$AL$300,0)),"")</f>
        <v/>
      </c>
      <c r="E18" s="16">
        <f>IFERROR(INDEX(Backlog!$A$2:$A$300,MATCH("Blocked|13",Backlog!$AL$2:$AL$300,0))&amp;" · "&amp;INDEX(Backlog!$D$2:$D$300,MATCH("Blocked|13",Backlog!$AL$2:$AL$300,0)),"")</f>
        <v/>
      </c>
      <c r="F18" s="16">
        <f>IFERROR(INDEX(Backlog!$A$2:$A$300,MATCH("Done|13",Backlog!$AL$2:$AL$300,0))&amp;" · "&amp;INDEX(Backlog!$D$2:$D$300,MATCH("Done|13",Backlog!$AL$2:$AL$300,0)),"")</f>
        <v/>
      </c>
    </row>
    <row r="19" ht="30" customHeight="1">
      <c r="B19" s="16">
        <f>IFERROR(INDEX(Backlog!$A$2:$A$300,MATCH("To Do|14",Backlog!$AL$2:$AL$300,0))&amp;" · "&amp;INDEX(Backlog!$D$2:$D$300,MATCH("To Do|14",Backlog!$AL$2:$AL$300,0)),"")</f>
        <v/>
      </c>
      <c r="C19" s="16">
        <f>IFERROR(INDEX(Backlog!$A$2:$A$300,MATCH("In Progress|14",Backlog!$AL$2:$AL$300,0))&amp;" · "&amp;INDEX(Backlog!$D$2:$D$300,MATCH("In Progress|14",Backlog!$AL$2:$AL$300,0)),"")</f>
        <v/>
      </c>
      <c r="D19" s="16">
        <f>IFERROR(INDEX(Backlog!$A$2:$A$300,MATCH("In Review|14",Backlog!$AL$2:$AL$300,0))&amp;" · "&amp;INDEX(Backlog!$D$2:$D$300,MATCH("In Review|14",Backlog!$AL$2:$AL$300,0)),"")</f>
        <v/>
      </c>
      <c r="E19" s="16">
        <f>IFERROR(INDEX(Backlog!$A$2:$A$300,MATCH("Blocked|14",Backlog!$AL$2:$AL$300,0))&amp;" · "&amp;INDEX(Backlog!$D$2:$D$300,MATCH("Blocked|14",Backlog!$AL$2:$AL$300,0)),"")</f>
        <v/>
      </c>
      <c r="F19" s="16">
        <f>IFERROR(INDEX(Backlog!$A$2:$A$300,MATCH("Done|14",Backlog!$AL$2:$AL$300,0))&amp;" · "&amp;INDEX(Backlog!$D$2:$D$300,MATCH("Done|14",Backlog!$AL$2:$AL$300,0)),"")</f>
        <v/>
      </c>
    </row>
    <row r="20" ht="30" customHeight="1">
      <c r="B20" s="16">
        <f>IFERROR(INDEX(Backlog!$A$2:$A$300,MATCH("To Do|15",Backlog!$AL$2:$AL$300,0))&amp;" · "&amp;INDEX(Backlog!$D$2:$D$300,MATCH("To Do|15",Backlog!$AL$2:$AL$300,0)),"")</f>
        <v/>
      </c>
      <c r="C20" s="16">
        <f>IFERROR(INDEX(Backlog!$A$2:$A$300,MATCH("In Progress|15",Backlog!$AL$2:$AL$300,0))&amp;" · "&amp;INDEX(Backlog!$D$2:$D$300,MATCH("In Progress|15",Backlog!$AL$2:$AL$300,0)),"")</f>
        <v/>
      </c>
      <c r="D20" s="16">
        <f>IFERROR(INDEX(Backlog!$A$2:$A$300,MATCH("In Review|15",Backlog!$AL$2:$AL$300,0))&amp;" · "&amp;INDEX(Backlog!$D$2:$D$300,MATCH("In Review|15",Backlog!$AL$2:$AL$300,0)),"")</f>
        <v/>
      </c>
      <c r="E20" s="16">
        <f>IFERROR(INDEX(Backlog!$A$2:$A$300,MATCH("Blocked|15",Backlog!$AL$2:$AL$300,0))&amp;" · "&amp;INDEX(Backlog!$D$2:$D$300,MATCH("Blocked|15",Backlog!$AL$2:$AL$300,0)),"")</f>
        <v/>
      </c>
      <c r="F20" s="16">
        <f>IFERROR(INDEX(Backlog!$A$2:$A$300,MATCH("Done|15",Backlog!$AL$2:$AL$300,0))&amp;" · "&amp;INDEX(Backlog!$D$2:$D$300,MATCH("Done|15",Backlog!$AL$2:$AL$300,0)),"")</f>
        <v/>
      </c>
    </row>
    <row r="21" ht="30" customHeight="1">
      <c r="B21" s="16">
        <f>IFERROR(INDEX(Backlog!$A$2:$A$300,MATCH("To Do|16",Backlog!$AL$2:$AL$300,0))&amp;" · "&amp;INDEX(Backlog!$D$2:$D$300,MATCH("To Do|16",Backlog!$AL$2:$AL$300,0)),"")</f>
        <v/>
      </c>
      <c r="C21" s="16">
        <f>IFERROR(INDEX(Backlog!$A$2:$A$300,MATCH("In Progress|16",Backlog!$AL$2:$AL$300,0))&amp;" · "&amp;INDEX(Backlog!$D$2:$D$300,MATCH("In Progress|16",Backlog!$AL$2:$AL$300,0)),"")</f>
        <v/>
      </c>
      <c r="D21" s="16">
        <f>IFERROR(INDEX(Backlog!$A$2:$A$300,MATCH("In Review|16",Backlog!$AL$2:$AL$300,0))&amp;" · "&amp;INDEX(Backlog!$D$2:$D$300,MATCH("In Review|16",Backlog!$AL$2:$AL$300,0)),"")</f>
        <v/>
      </c>
      <c r="E21" s="16">
        <f>IFERROR(INDEX(Backlog!$A$2:$A$300,MATCH("Blocked|16",Backlog!$AL$2:$AL$300,0))&amp;" · "&amp;INDEX(Backlog!$D$2:$D$300,MATCH("Blocked|16",Backlog!$AL$2:$AL$300,0)),"")</f>
        <v/>
      </c>
      <c r="F21" s="16">
        <f>IFERROR(INDEX(Backlog!$A$2:$A$300,MATCH("Done|16",Backlog!$AL$2:$AL$300,0))&amp;" · "&amp;INDEX(Backlog!$D$2:$D$300,MATCH("Done|16",Backlog!$AL$2:$AL$300,0)),"")</f>
        <v/>
      </c>
    </row>
    <row r="22" ht="30" customHeight="1">
      <c r="B22" s="16">
        <f>IFERROR(INDEX(Backlog!$A$2:$A$300,MATCH("To Do|17",Backlog!$AL$2:$AL$300,0))&amp;" · "&amp;INDEX(Backlog!$D$2:$D$300,MATCH("To Do|17",Backlog!$AL$2:$AL$300,0)),"")</f>
        <v/>
      </c>
      <c r="C22" s="16">
        <f>IFERROR(INDEX(Backlog!$A$2:$A$300,MATCH("In Progress|17",Backlog!$AL$2:$AL$300,0))&amp;" · "&amp;INDEX(Backlog!$D$2:$D$300,MATCH("In Progress|17",Backlog!$AL$2:$AL$300,0)),"")</f>
        <v/>
      </c>
      <c r="D22" s="16">
        <f>IFERROR(INDEX(Backlog!$A$2:$A$300,MATCH("In Review|17",Backlog!$AL$2:$AL$300,0))&amp;" · "&amp;INDEX(Backlog!$D$2:$D$300,MATCH("In Review|17",Backlog!$AL$2:$AL$300,0)),"")</f>
        <v/>
      </c>
      <c r="E22" s="16">
        <f>IFERROR(INDEX(Backlog!$A$2:$A$300,MATCH("Blocked|17",Backlog!$AL$2:$AL$300,0))&amp;" · "&amp;INDEX(Backlog!$D$2:$D$300,MATCH("Blocked|17",Backlog!$AL$2:$AL$300,0)),"")</f>
        <v/>
      </c>
      <c r="F22" s="16">
        <f>IFERROR(INDEX(Backlog!$A$2:$A$300,MATCH("Done|17",Backlog!$AL$2:$AL$300,0))&amp;" · "&amp;INDEX(Backlog!$D$2:$D$300,MATCH("Done|17",Backlog!$AL$2:$AL$300,0)),"")</f>
        <v/>
      </c>
    </row>
    <row r="23" ht="30" customHeight="1">
      <c r="B23" s="16">
        <f>IFERROR(INDEX(Backlog!$A$2:$A$300,MATCH("To Do|18",Backlog!$AL$2:$AL$300,0))&amp;" · "&amp;INDEX(Backlog!$D$2:$D$300,MATCH("To Do|18",Backlog!$AL$2:$AL$300,0)),"")</f>
        <v/>
      </c>
      <c r="C23" s="16">
        <f>IFERROR(INDEX(Backlog!$A$2:$A$300,MATCH("In Progress|18",Backlog!$AL$2:$AL$300,0))&amp;" · "&amp;INDEX(Backlog!$D$2:$D$300,MATCH("In Progress|18",Backlog!$AL$2:$AL$300,0)),"")</f>
        <v/>
      </c>
      <c r="D23" s="16">
        <f>IFERROR(INDEX(Backlog!$A$2:$A$300,MATCH("In Review|18",Backlog!$AL$2:$AL$300,0))&amp;" · "&amp;INDEX(Backlog!$D$2:$D$300,MATCH("In Review|18",Backlog!$AL$2:$AL$300,0)),"")</f>
        <v/>
      </c>
      <c r="E23" s="16">
        <f>IFERROR(INDEX(Backlog!$A$2:$A$300,MATCH("Blocked|18",Backlog!$AL$2:$AL$300,0))&amp;" · "&amp;INDEX(Backlog!$D$2:$D$300,MATCH("Blocked|18",Backlog!$AL$2:$AL$300,0)),"")</f>
        <v/>
      </c>
      <c r="F23" s="16">
        <f>IFERROR(INDEX(Backlog!$A$2:$A$300,MATCH("Done|18",Backlog!$AL$2:$AL$300,0))&amp;" · "&amp;INDEX(Backlog!$D$2:$D$300,MATCH("Done|18",Backlog!$AL$2:$AL$300,0)),"")</f>
        <v/>
      </c>
    </row>
    <row r="24" ht="30" customHeight="1">
      <c r="B24" s="16">
        <f>IFERROR(INDEX(Backlog!$A$2:$A$300,MATCH("To Do|19",Backlog!$AL$2:$AL$300,0))&amp;" · "&amp;INDEX(Backlog!$D$2:$D$300,MATCH("To Do|19",Backlog!$AL$2:$AL$300,0)),"")</f>
        <v/>
      </c>
      <c r="C24" s="16">
        <f>IFERROR(INDEX(Backlog!$A$2:$A$300,MATCH("In Progress|19",Backlog!$AL$2:$AL$300,0))&amp;" · "&amp;INDEX(Backlog!$D$2:$D$300,MATCH("In Progress|19",Backlog!$AL$2:$AL$300,0)),"")</f>
        <v/>
      </c>
      <c r="D24" s="16">
        <f>IFERROR(INDEX(Backlog!$A$2:$A$300,MATCH("In Review|19",Backlog!$AL$2:$AL$300,0))&amp;" · "&amp;INDEX(Backlog!$D$2:$D$300,MATCH("In Review|19",Backlog!$AL$2:$AL$300,0)),"")</f>
        <v/>
      </c>
      <c r="E24" s="16">
        <f>IFERROR(INDEX(Backlog!$A$2:$A$300,MATCH("Blocked|19",Backlog!$AL$2:$AL$300,0))&amp;" · "&amp;INDEX(Backlog!$D$2:$D$300,MATCH("Blocked|19",Backlog!$AL$2:$AL$300,0)),"")</f>
        <v/>
      </c>
      <c r="F24" s="16">
        <f>IFERROR(INDEX(Backlog!$A$2:$A$300,MATCH("Done|19",Backlog!$AL$2:$AL$300,0))&amp;" · "&amp;INDEX(Backlog!$D$2:$D$300,MATCH("Done|19",Backlog!$AL$2:$AL$300,0)),"")</f>
        <v/>
      </c>
    </row>
    <row r="25" ht="30" customHeight="1">
      <c r="B25" s="16">
        <f>IFERROR(INDEX(Backlog!$A$2:$A$300,MATCH("To Do|20",Backlog!$AL$2:$AL$300,0))&amp;" · "&amp;INDEX(Backlog!$D$2:$D$300,MATCH("To Do|20",Backlog!$AL$2:$AL$300,0)),"")</f>
        <v/>
      </c>
      <c r="C25" s="16">
        <f>IFERROR(INDEX(Backlog!$A$2:$A$300,MATCH("In Progress|20",Backlog!$AL$2:$AL$300,0))&amp;" · "&amp;INDEX(Backlog!$D$2:$D$300,MATCH("In Progress|20",Backlog!$AL$2:$AL$300,0)),"")</f>
        <v/>
      </c>
      <c r="D25" s="16">
        <f>IFERROR(INDEX(Backlog!$A$2:$A$300,MATCH("In Review|20",Backlog!$AL$2:$AL$300,0))&amp;" · "&amp;INDEX(Backlog!$D$2:$D$300,MATCH("In Review|20",Backlog!$AL$2:$AL$300,0)),"")</f>
        <v/>
      </c>
      <c r="E25" s="16">
        <f>IFERROR(INDEX(Backlog!$A$2:$A$300,MATCH("Blocked|20",Backlog!$AL$2:$AL$300,0))&amp;" · "&amp;INDEX(Backlog!$D$2:$D$300,MATCH("Blocked|20",Backlog!$AL$2:$AL$300,0)),"")</f>
        <v/>
      </c>
      <c r="F25" s="16">
        <f>IFERROR(INDEX(Backlog!$A$2:$A$300,MATCH("Done|20",Backlog!$AL$2:$AL$300,0))&amp;" · "&amp;INDEX(Backlog!$D$2:$D$300,MATCH("Done|20",Backlog!$AL$2:$AL$300,0)),"")</f>
        <v/>
      </c>
    </row>
    <row r="26" ht="30" customHeight="1">
      <c r="B26" s="16">
        <f>IFERROR(INDEX(Backlog!$A$2:$A$300,MATCH("To Do|21",Backlog!$AL$2:$AL$300,0))&amp;" · "&amp;INDEX(Backlog!$D$2:$D$300,MATCH("To Do|21",Backlog!$AL$2:$AL$300,0)),"")</f>
        <v/>
      </c>
      <c r="C26" s="16">
        <f>IFERROR(INDEX(Backlog!$A$2:$A$300,MATCH("In Progress|21",Backlog!$AL$2:$AL$300,0))&amp;" · "&amp;INDEX(Backlog!$D$2:$D$300,MATCH("In Progress|21",Backlog!$AL$2:$AL$300,0)),"")</f>
        <v/>
      </c>
      <c r="D26" s="16">
        <f>IFERROR(INDEX(Backlog!$A$2:$A$300,MATCH("In Review|21",Backlog!$AL$2:$AL$300,0))&amp;" · "&amp;INDEX(Backlog!$D$2:$D$300,MATCH("In Review|21",Backlog!$AL$2:$AL$300,0)),"")</f>
        <v/>
      </c>
      <c r="E26" s="16">
        <f>IFERROR(INDEX(Backlog!$A$2:$A$300,MATCH("Blocked|21",Backlog!$AL$2:$AL$300,0))&amp;" · "&amp;INDEX(Backlog!$D$2:$D$300,MATCH("Blocked|21",Backlog!$AL$2:$AL$300,0)),"")</f>
        <v/>
      </c>
      <c r="F26" s="16">
        <f>IFERROR(INDEX(Backlog!$A$2:$A$300,MATCH("Done|21",Backlog!$AL$2:$AL$300,0))&amp;" · "&amp;INDEX(Backlog!$D$2:$D$300,MATCH("Done|21",Backlog!$AL$2:$AL$300,0)),"")</f>
        <v/>
      </c>
    </row>
    <row r="27" ht="30" customHeight="1">
      <c r="B27" s="16">
        <f>IFERROR(INDEX(Backlog!$A$2:$A$300,MATCH("To Do|22",Backlog!$AL$2:$AL$300,0))&amp;" · "&amp;INDEX(Backlog!$D$2:$D$300,MATCH("To Do|22",Backlog!$AL$2:$AL$300,0)),"")</f>
        <v/>
      </c>
      <c r="C27" s="16">
        <f>IFERROR(INDEX(Backlog!$A$2:$A$300,MATCH("In Progress|22",Backlog!$AL$2:$AL$300,0))&amp;" · "&amp;INDEX(Backlog!$D$2:$D$300,MATCH("In Progress|22",Backlog!$AL$2:$AL$300,0)),"")</f>
        <v/>
      </c>
      <c r="D27" s="16">
        <f>IFERROR(INDEX(Backlog!$A$2:$A$300,MATCH("In Review|22",Backlog!$AL$2:$AL$300,0))&amp;" · "&amp;INDEX(Backlog!$D$2:$D$300,MATCH("In Review|22",Backlog!$AL$2:$AL$300,0)),"")</f>
        <v/>
      </c>
      <c r="E27" s="16">
        <f>IFERROR(INDEX(Backlog!$A$2:$A$300,MATCH("Blocked|22",Backlog!$AL$2:$AL$300,0))&amp;" · "&amp;INDEX(Backlog!$D$2:$D$300,MATCH("Blocked|22",Backlog!$AL$2:$AL$300,0)),"")</f>
        <v/>
      </c>
      <c r="F27" s="16">
        <f>IFERROR(INDEX(Backlog!$A$2:$A$300,MATCH("Done|22",Backlog!$AL$2:$AL$300,0))&amp;" · "&amp;INDEX(Backlog!$D$2:$D$300,MATCH("Done|22",Backlog!$AL$2:$AL$300,0)),"")</f>
        <v/>
      </c>
    </row>
    <row r="28" ht="30" customHeight="1">
      <c r="B28" s="16">
        <f>IFERROR(INDEX(Backlog!$A$2:$A$300,MATCH("To Do|23",Backlog!$AL$2:$AL$300,0))&amp;" · "&amp;INDEX(Backlog!$D$2:$D$300,MATCH("To Do|23",Backlog!$AL$2:$AL$300,0)),"")</f>
        <v/>
      </c>
      <c r="C28" s="16">
        <f>IFERROR(INDEX(Backlog!$A$2:$A$300,MATCH("In Progress|23",Backlog!$AL$2:$AL$300,0))&amp;" · "&amp;INDEX(Backlog!$D$2:$D$300,MATCH("In Progress|23",Backlog!$AL$2:$AL$300,0)),"")</f>
        <v/>
      </c>
      <c r="D28" s="16">
        <f>IFERROR(INDEX(Backlog!$A$2:$A$300,MATCH("In Review|23",Backlog!$AL$2:$AL$300,0))&amp;" · "&amp;INDEX(Backlog!$D$2:$D$300,MATCH("In Review|23",Backlog!$AL$2:$AL$300,0)),"")</f>
        <v/>
      </c>
      <c r="E28" s="16">
        <f>IFERROR(INDEX(Backlog!$A$2:$A$300,MATCH("Blocked|23",Backlog!$AL$2:$AL$300,0))&amp;" · "&amp;INDEX(Backlog!$D$2:$D$300,MATCH("Blocked|23",Backlog!$AL$2:$AL$300,0)),"")</f>
        <v/>
      </c>
      <c r="F28" s="16">
        <f>IFERROR(INDEX(Backlog!$A$2:$A$300,MATCH("Done|23",Backlog!$AL$2:$AL$300,0))&amp;" · "&amp;INDEX(Backlog!$D$2:$D$300,MATCH("Done|23",Backlog!$AL$2:$AL$300,0)),"")</f>
        <v/>
      </c>
    </row>
    <row r="29" ht="30" customHeight="1">
      <c r="B29" s="16">
        <f>IFERROR(INDEX(Backlog!$A$2:$A$300,MATCH("To Do|24",Backlog!$AL$2:$AL$300,0))&amp;" · "&amp;INDEX(Backlog!$D$2:$D$300,MATCH("To Do|24",Backlog!$AL$2:$AL$300,0)),"")</f>
        <v/>
      </c>
      <c r="C29" s="16">
        <f>IFERROR(INDEX(Backlog!$A$2:$A$300,MATCH("In Progress|24",Backlog!$AL$2:$AL$300,0))&amp;" · "&amp;INDEX(Backlog!$D$2:$D$300,MATCH("In Progress|24",Backlog!$AL$2:$AL$300,0)),"")</f>
        <v/>
      </c>
      <c r="D29" s="16">
        <f>IFERROR(INDEX(Backlog!$A$2:$A$300,MATCH("In Review|24",Backlog!$AL$2:$AL$300,0))&amp;" · "&amp;INDEX(Backlog!$D$2:$D$300,MATCH("In Review|24",Backlog!$AL$2:$AL$300,0)),"")</f>
        <v/>
      </c>
      <c r="E29" s="16">
        <f>IFERROR(INDEX(Backlog!$A$2:$A$300,MATCH("Blocked|24",Backlog!$AL$2:$AL$300,0))&amp;" · "&amp;INDEX(Backlog!$D$2:$D$300,MATCH("Blocked|24",Backlog!$AL$2:$AL$300,0)),"")</f>
        <v/>
      </c>
      <c r="F29" s="16">
        <f>IFERROR(INDEX(Backlog!$A$2:$A$300,MATCH("Done|24",Backlog!$AL$2:$AL$300,0))&amp;" · "&amp;INDEX(Backlog!$D$2:$D$300,MATCH("Done|24",Backlog!$AL$2:$AL$300,0)),"")</f>
        <v/>
      </c>
    </row>
    <row r="30" ht="30" customHeight="1">
      <c r="B30" s="16">
        <f>IFERROR(INDEX(Backlog!$A$2:$A$300,MATCH("To Do|25",Backlog!$AL$2:$AL$300,0))&amp;" · "&amp;INDEX(Backlog!$D$2:$D$300,MATCH("To Do|25",Backlog!$AL$2:$AL$300,0)),"")</f>
        <v/>
      </c>
      <c r="C30" s="16">
        <f>IFERROR(INDEX(Backlog!$A$2:$A$300,MATCH("In Progress|25",Backlog!$AL$2:$AL$300,0))&amp;" · "&amp;INDEX(Backlog!$D$2:$D$300,MATCH("In Progress|25",Backlog!$AL$2:$AL$300,0)),"")</f>
        <v/>
      </c>
      <c r="D30" s="16">
        <f>IFERROR(INDEX(Backlog!$A$2:$A$300,MATCH("In Review|25",Backlog!$AL$2:$AL$300,0))&amp;" · "&amp;INDEX(Backlog!$D$2:$D$300,MATCH("In Review|25",Backlog!$AL$2:$AL$300,0)),"")</f>
        <v/>
      </c>
      <c r="E30" s="16">
        <f>IFERROR(INDEX(Backlog!$A$2:$A$300,MATCH("Blocked|25",Backlog!$AL$2:$AL$300,0))&amp;" · "&amp;INDEX(Backlog!$D$2:$D$300,MATCH("Blocked|25",Backlog!$AL$2:$AL$300,0)),"")</f>
        <v/>
      </c>
      <c r="F30" s="16">
        <f>IFERROR(INDEX(Backlog!$A$2:$A$300,MATCH("Done|25",Backlog!$AL$2:$AL$300,0))&amp;" · "&amp;INDEX(Backlog!$D$2:$D$300,MATCH("Done|25",Backlog!$AL$2:$AL$300,0)),"")</f>
        <v/>
      </c>
    </row>
    <row r="31" ht="30" customHeight="1">
      <c r="B31" s="16">
        <f>IFERROR(INDEX(Backlog!$A$2:$A$300,MATCH("To Do|26",Backlog!$AL$2:$AL$300,0))&amp;" · "&amp;INDEX(Backlog!$D$2:$D$300,MATCH("To Do|26",Backlog!$AL$2:$AL$300,0)),"")</f>
        <v/>
      </c>
      <c r="C31" s="16">
        <f>IFERROR(INDEX(Backlog!$A$2:$A$300,MATCH("In Progress|26",Backlog!$AL$2:$AL$300,0))&amp;" · "&amp;INDEX(Backlog!$D$2:$D$300,MATCH("In Progress|26",Backlog!$AL$2:$AL$300,0)),"")</f>
        <v/>
      </c>
      <c r="D31" s="16">
        <f>IFERROR(INDEX(Backlog!$A$2:$A$300,MATCH("In Review|26",Backlog!$AL$2:$AL$300,0))&amp;" · "&amp;INDEX(Backlog!$D$2:$D$300,MATCH("In Review|26",Backlog!$AL$2:$AL$300,0)),"")</f>
        <v/>
      </c>
      <c r="E31" s="16">
        <f>IFERROR(INDEX(Backlog!$A$2:$A$300,MATCH("Blocked|26",Backlog!$AL$2:$AL$300,0))&amp;" · "&amp;INDEX(Backlog!$D$2:$D$300,MATCH("Blocked|26",Backlog!$AL$2:$AL$300,0)),"")</f>
        <v/>
      </c>
      <c r="F31" s="16">
        <f>IFERROR(INDEX(Backlog!$A$2:$A$300,MATCH("Done|26",Backlog!$AL$2:$AL$300,0))&amp;" · "&amp;INDEX(Backlog!$D$2:$D$300,MATCH("Done|26",Backlog!$AL$2:$AL$300,0)),"")</f>
        <v/>
      </c>
    </row>
    <row r="32" ht="30" customHeight="1">
      <c r="B32" s="16">
        <f>IFERROR(INDEX(Backlog!$A$2:$A$300,MATCH("To Do|27",Backlog!$AL$2:$AL$300,0))&amp;" · "&amp;INDEX(Backlog!$D$2:$D$300,MATCH("To Do|27",Backlog!$AL$2:$AL$300,0)),"")</f>
        <v/>
      </c>
      <c r="C32" s="16">
        <f>IFERROR(INDEX(Backlog!$A$2:$A$300,MATCH("In Progress|27",Backlog!$AL$2:$AL$300,0))&amp;" · "&amp;INDEX(Backlog!$D$2:$D$300,MATCH("In Progress|27",Backlog!$AL$2:$AL$300,0)),"")</f>
        <v/>
      </c>
      <c r="D32" s="16">
        <f>IFERROR(INDEX(Backlog!$A$2:$A$300,MATCH("In Review|27",Backlog!$AL$2:$AL$300,0))&amp;" · "&amp;INDEX(Backlog!$D$2:$D$300,MATCH("In Review|27",Backlog!$AL$2:$AL$300,0)),"")</f>
        <v/>
      </c>
      <c r="E32" s="16">
        <f>IFERROR(INDEX(Backlog!$A$2:$A$300,MATCH("Blocked|27",Backlog!$AL$2:$AL$300,0))&amp;" · "&amp;INDEX(Backlog!$D$2:$D$300,MATCH("Blocked|27",Backlog!$AL$2:$AL$300,0)),"")</f>
        <v/>
      </c>
      <c r="F32" s="16">
        <f>IFERROR(INDEX(Backlog!$A$2:$A$300,MATCH("Done|27",Backlog!$AL$2:$AL$300,0))&amp;" · "&amp;INDEX(Backlog!$D$2:$D$300,MATCH("Done|27",Backlog!$AL$2:$AL$300,0)),"")</f>
        <v/>
      </c>
    </row>
    <row r="33" ht="30" customHeight="1">
      <c r="B33" s="16">
        <f>IFERROR(INDEX(Backlog!$A$2:$A$300,MATCH("To Do|28",Backlog!$AL$2:$AL$300,0))&amp;" · "&amp;INDEX(Backlog!$D$2:$D$300,MATCH("To Do|28",Backlog!$AL$2:$AL$300,0)),"")</f>
        <v/>
      </c>
      <c r="C33" s="16">
        <f>IFERROR(INDEX(Backlog!$A$2:$A$300,MATCH("In Progress|28",Backlog!$AL$2:$AL$300,0))&amp;" · "&amp;INDEX(Backlog!$D$2:$D$300,MATCH("In Progress|28",Backlog!$AL$2:$AL$300,0)),"")</f>
        <v/>
      </c>
      <c r="D33" s="16">
        <f>IFERROR(INDEX(Backlog!$A$2:$A$300,MATCH("In Review|28",Backlog!$AL$2:$AL$300,0))&amp;" · "&amp;INDEX(Backlog!$D$2:$D$300,MATCH("In Review|28",Backlog!$AL$2:$AL$300,0)),"")</f>
        <v/>
      </c>
      <c r="E33" s="16">
        <f>IFERROR(INDEX(Backlog!$A$2:$A$300,MATCH("Blocked|28",Backlog!$AL$2:$AL$300,0))&amp;" · "&amp;INDEX(Backlog!$D$2:$D$300,MATCH("Blocked|28",Backlog!$AL$2:$AL$300,0)),"")</f>
        <v/>
      </c>
      <c r="F33" s="16">
        <f>IFERROR(INDEX(Backlog!$A$2:$A$300,MATCH("Done|28",Backlog!$AL$2:$AL$300,0))&amp;" · "&amp;INDEX(Backlog!$D$2:$D$300,MATCH("Done|28",Backlog!$AL$2:$AL$300,0)),"")</f>
        <v/>
      </c>
    </row>
    <row r="34" ht="30" customHeight="1">
      <c r="B34" s="16">
        <f>IFERROR(INDEX(Backlog!$A$2:$A$300,MATCH("To Do|29",Backlog!$AL$2:$AL$300,0))&amp;" · "&amp;INDEX(Backlog!$D$2:$D$300,MATCH("To Do|29",Backlog!$AL$2:$AL$300,0)),"")</f>
        <v/>
      </c>
      <c r="C34" s="16">
        <f>IFERROR(INDEX(Backlog!$A$2:$A$300,MATCH("In Progress|29",Backlog!$AL$2:$AL$300,0))&amp;" · "&amp;INDEX(Backlog!$D$2:$D$300,MATCH("In Progress|29",Backlog!$AL$2:$AL$300,0)),"")</f>
        <v/>
      </c>
      <c r="D34" s="16">
        <f>IFERROR(INDEX(Backlog!$A$2:$A$300,MATCH("In Review|29",Backlog!$AL$2:$AL$300,0))&amp;" · "&amp;INDEX(Backlog!$D$2:$D$300,MATCH("In Review|29",Backlog!$AL$2:$AL$300,0)),"")</f>
        <v/>
      </c>
      <c r="E34" s="16">
        <f>IFERROR(INDEX(Backlog!$A$2:$A$300,MATCH("Blocked|29",Backlog!$AL$2:$AL$300,0))&amp;" · "&amp;INDEX(Backlog!$D$2:$D$300,MATCH("Blocked|29",Backlog!$AL$2:$AL$300,0)),"")</f>
        <v/>
      </c>
      <c r="F34" s="16">
        <f>IFERROR(INDEX(Backlog!$A$2:$A$300,MATCH("Done|29",Backlog!$AL$2:$AL$300,0))&amp;" · "&amp;INDEX(Backlog!$D$2:$D$300,MATCH("Done|29",Backlog!$AL$2:$AL$300,0)),"")</f>
        <v/>
      </c>
    </row>
    <row r="35" ht="30" customHeight="1">
      <c r="B35" s="16">
        <f>IFERROR(INDEX(Backlog!$A$2:$A$300,MATCH("To Do|30",Backlog!$AL$2:$AL$300,0))&amp;" · "&amp;INDEX(Backlog!$D$2:$D$300,MATCH("To Do|30",Backlog!$AL$2:$AL$300,0)),"")</f>
        <v/>
      </c>
      <c r="C35" s="16">
        <f>IFERROR(INDEX(Backlog!$A$2:$A$300,MATCH("In Progress|30",Backlog!$AL$2:$AL$300,0))&amp;" · "&amp;INDEX(Backlog!$D$2:$D$300,MATCH("In Progress|30",Backlog!$AL$2:$AL$300,0)),"")</f>
        <v/>
      </c>
      <c r="D35" s="16">
        <f>IFERROR(INDEX(Backlog!$A$2:$A$300,MATCH("In Review|30",Backlog!$AL$2:$AL$300,0))&amp;" · "&amp;INDEX(Backlog!$D$2:$D$300,MATCH("In Review|30",Backlog!$AL$2:$AL$300,0)),"")</f>
        <v/>
      </c>
      <c r="E35" s="16">
        <f>IFERROR(INDEX(Backlog!$A$2:$A$300,MATCH("Blocked|30",Backlog!$AL$2:$AL$300,0))&amp;" · "&amp;INDEX(Backlog!$D$2:$D$300,MATCH("Blocked|30",Backlog!$AL$2:$AL$300,0)),"")</f>
        <v/>
      </c>
      <c r="F35" s="16">
        <f>IFERROR(INDEX(Backlog!$A$2:$A$300,MATCH("Done|30",Backlog!$AL$2:$AL$300,0))&amp;" · "&amp;INDEX(Backlog!$D$2:$D$300,MATCH("Done|30",Backlog!$AL$2:$AL$300,0)),"")</f>
        <v/>
      </c>
    </row>
    <row r="36" ht="30" customHeight="1">
      <c r="B36" s="16">
        <f>IFERROR(INDEX(Backlog!$A$2:$A$300,MATCH("To Do|31",Backlog!$AL$2:$AL$300,0))&amp;" · "&amp;INDEX(Backlog!$D$2:$D$300,MATCH("To Do|31",Backlog!$AL$2:$AL$300,0)),"")</f>
        <v/>
      </c>
      <c r="C36" s="16">
        <f>IFERROR(INDEX(Backlog!$A$2:$A$300,MATCH("In Progress|31",Backlog!$AL$2:$AL$300,0))&amp;" · "&amp;INDEX(Backlog!$D$2:$D$300,MATCH("In Progress|31",Backlog!$AL$2:$AL$300,0)),"")</f>
        <v/>
      </c>
      <c r="D36" s="16">
        <f>IFERROR(INDEX(Backlog!$A$2:$A$300,MATCH("In Review|31",Backlog!$AL$2:$AL$300,0))&amp;" · "&amp;INDEX(Backlog!$D$2:$D$300,MATCH("In Review|31",Backlog!$AL$2:$AL$300,0)),"")</f>
        <v/>
      </c>
      <c r="E36" s="16">
        <f>IFERROR(INDEX(Backlog!$A$2:$A$300,MATCH("Blocked|31",Backlog!$AL$2:$AL$300,0))&amp;" · "&amp;INDEX(Backlog!$D$2:$D$300,MATCH("Blocked|31",Backlog!$AL$2:$AL$300,0)),"")</f>
        <v/>
      </c>
      <c r="F36" s="16">
        <f>IFERROR(INDEX(Backlog!$A$2:$A$300,MATCH("Done|31",Backlog!$AL$2:$AL$300,0))&amp;" · "&amp;INDEX(Backlog!$D$2:$D$300,MATCH("Done|31",Backlog!$AL$2:$AL$300,0)),"")</f>
        <v/>
      </c>
    </row>
    <row r="37" ht="30" customHeight="1">
      <c r="B37" s="16">
        <f>IFERROR(INDEX(Backlog!$A$2:$A$300,MATCH("To Do|32",Backlog!$AL$2:$AL$300,0))&amp;" · "&amp;INDEX(Backlog!$D$2:$D$300,MATCH("To Do|32",Backlog!$AL$2:$AL$300,0)),"")</f>
        <v/>
      </c>
      <c r="C37" s="16">
        <f>IFERROR(INDEX(Backlog!$A$2:$A$300,MATCH("In Progress|32",Backlog!$AL$2:$AL$300,0))&amp;" · "&amp;INDEX(Backlog!$D$2:$D$300,MATCH("In Progress|32",Backlog!$AL$2:$AL$300,0)),"")</f>
        <v/>
      </c>
      <c r="D37" s="16">
        <f>IFERROR(INDEX(Backlog!$A$2:$A$300,MATCH("In Review|32",Backlog!$AL$2:$AL$300,0))&amp;" · "&amp;INDEX(Backlog!$D$2:$D$300,MATCH("In Review|32",Backlog!$AL$2:$AL$300,0)),"")</f>
        <v/>
      </c>
      <c r="E37" s="16">
        <f>IFERROR(INDEX(Backlog!$A$2:$A$300,MATCH("Blocked|32",Backlog!$AL$2:$AL$300,0))&amp;" · "&amp;INDEX(Backlog!$D$2:$D$300,MATCH("Blocked|32",Backlog!$AL$2:$AL$300,0)),"")</f>
        <v/>
      </c>
      <c r="F37" s="16">
        <f>IFERROR(INDEX(Backlog!$A$2:$A$300,MATCH("Done|32",Backlog!$AL$2:$AL$300,0))&amp;" · "&amp;INDEX(Backlog!$D$2:$D$300,MATCH("Done|32",Backlog!$AL$2:$AL$300,0)),"")</f>
        <v/>
      </c>
    </row>
    <row r="38" ht="30" customHeight="1">
      <c r="B38" s="16">
        <f>IFERROR(INDEX(Backlog!$A$2:$A$300,MATCH("To Do|33",Backlog!$AL$2:$AL$300,0))&amp;" · "&amp;INDEX(Backlog!$D$2:$D$300,MATCH("To Do|33",Backlog!$AL$2:$AL$300,0)),"")</f>
        <v/>
      </c>
      <c r="C38" s="16">
        <f>IFERROR(INDEX(Backlog!$A$2:$A$300,MATCH("In Progress|33",Backlog!$AL$2:$AL$300,0))&amp;" · "&amp;INDEX(Backlog!$D$2:$D$300,MATCH("In Progress|33",Backlog!$AL$2:$AL$300,0)),"")</f>
        <v/>
      </c>
      <c r="D38" s="16">
        <f>IFERROR(INDEX(Backlog!$A$2:$A$300,MATCH("In Review|33",Backlog!$AL$2:$AL$300,0))&amp;" · "&amp;INDEX(Backlog!$D$2:$D$300,MATCH("In Review|33",Backlog!$AL$2:$AL$300,0)),"")</f>
        <v/>
      </c>
      <c r="E38" s="16">
        <f>IFERROR(INDEX(Backlog!$A$2:$A$300,MATCH("Blocked|33",Backlog!$AL$2:$AL$300,0))&amp;" · "&amp;INDEX(Backlog!$D$2:$D$300,MATCH("Blocked|33",Backlog!$AL$2:$AL$300,0)),"")</f>
        <v/>
      </c>
      <c r="F38" s="16">
        <f>IFERROR(INDEX(Backlog!$A$2:$A$300,MATCH("Done|33",Backlog!$AL$2:$AL$300,0))&amp;" · "&amp;INDEX(Backlog!$D$2:$D$300,MATCH("Done|33",Backlog!$AL$2:$AL$300,0)),"")</f>
        <v/>
      </c>
    </row>
    <row r="39" ht="30" customHeight="1">
      <c r="B39" s="16">
        <f>IFERROR(INDEX(Backlog!$A$2:$A$300,MATCH("To Do|34",Backlog!$AL$2:$AL$300,0))&amp;" · "&amp;INDEX(Backlog!$D$2:$D$300,MATCH("To Do|34",Backlog!$AL$2:$AL$300,0)),"")</f>
        <v/>
      </c>
      <c r="C39" s="16">
        <f>IFERROR(INDEX(Backlog!$A$2:$A$300,MATCH("In Progress|34",Backlog!$AL$2:$AL$300,0))&amp;" · "&amp;INDEX(Backlog!$D$2:$D$300,MATCH("In Progress|34",Backlog!$AL$2:$AL$300,0)),"")</f>
        <v/>
      </c>
      <c r="D39" s="16">
        <f>IFERROR(INDEX(Backlog!$A$2:$A$300,MATCH("In Review|34",Backlog!$AL$2:$AL$300,0))&amp;" · "&amp;INDEX(Backlog!$D$2:$D$300,MATCH("In Review|34",Backlog!$AL$2:$AL$300,0)),"")</f>
        <v/>
      </c>
      <c r="E39" s="16">
        <f>IFERROR(INDEX(Backlog!$A$2:$A$300,MATCH("Blocked|34",Backlog!$AL$2:$AL$300,0))&amp;" · "&amp;INDEX(Backlog!$D$2:$D$300,MATCH("Blocked|34",Backlog!$AL$2:$AL$300,0)),"")</f>
        <v/>
      </c>
      <c r="F39" s="16">
        <f>IFERROR(INDEX(Backlog!$A$2:$A$300,MATCH("Done|34",Backlog!$AL$2:$AL$300,0))&amp;" · "&amp;INDEX(Backlog!$D$2:$D$300,MATCH("Done|34",Backlog!$AL$2:$AL$300,0)),"")</f>
        <v/>
      </c>
    </row>
    <row r="40" ht="30" customHeight="1">
      <c r="B40" s="16">
        <f>IFERROR(INDEX(Backlog!$A$2:$A$300,MATCH("To Do|35",Backlog!$AL$2:$AL$300,0))&amp;" · "&amp;INDEX(Backlog!$D$2:$D$300,MATCH("To Do|35",Backlog!$AL$2:$AL$300,0)),"")</f>
        <v/>
      </c>
      <c r="C40" s="16">
        <f>IFERROR(INDEX(Backlog!$A$2:$A$300,MATCH("In Progress|35",Backlog!$AL$2:$AL$300,0))&amp;" · "&amp;INDEX(Backlog!$D$2:$D$300,MATCH("In Progress|35",Backlog!$AL$2:$AL$300,0)),"")</f>
        <v/>
      </c>
      <c r="D40" s="16">
        <f>IFERROR(INDEX(Backlog!$A$2:$A$300,MATCH("In Review|35",Backlog!$AL$2:$AL$300,0))&amp;" · "&amp;INDEX(Backlog!$D$2:$D$300,MATCH("In Review|35",Backlog!$AL$2:$AL$300,0)),"")</f>
        <v/>
      </c>
      <c r="E40" s="16">
        <f>IFERROR(INDEX(Backlog!$A$2:$A$300,MATCH("Blocked|35",Backlog!$AL$2:$AL$300,0))&amp;" · "&amp;INDEX(Backlog!$D$2:$D$300,MATCH("Blocked|35",Backlog!$AL$2:$AL$300,0)),"")</f>
        <v/>
      </c>
      <c r="F40" s="16">
        <f>IFERROR(INDEX(Backlog!$A$2:$A$300,MATCH("Done|35",Backlog!$AL$2:$AL$300,0))&amp;" · "&amp;INDEX(Backlog!$D$2:$D$300,MATCH("Done|35",Backlog!$AL$2:$AL$300,0)),"")</f>
        <v/>
      </c>
    </row>
    <row r="41" ht="30" customHeight="1">
      <c r="B41" s="16">
        <f>IFERROR(INDEX(Backlog!$A$2:$A$300,MATCH("To Do|36",Backlog!$AL$2:$AL$300,0))&amp;" · "&amp;INDEX(Backlog!$D$2:$D$300,MATCH("To Do|36",Backlog!$AL$2:$AL$300,0)),"")</f>
        <v/>
      </c>
      <c r="C41" s="16">
        <f>IFERROR(INDEX(Backlog!$A$2:$A$300,MATCH("In Progress|36",Backlog!$AL$2:$AL$300,0))&amp;" · "&amp;INDEX(Backlog!$D$2:$D$300,MATCH("In Progress|36",Backlog!$AL$2:$AL$300,0)),"")</f>
        <v/>
      </c>
      <c r="D41" s="16">
        <f>IFERROR(INDEX(Backlog!$A$2:$A$300,MATCH("In Review|36",Backlog!$AL$2:$AL$300,0))&amp;" · "&amp;INDEX(Backlog!$D$2:$D$300,MATCH("In Review|36",Backlog!$AL$2:$AL$300,0)),"")</f>
        <v/>
      </c>
      <c r="E41" s="16">
        <f>IFERROR(INDEX(Backlog!$A$2:$A$300,MATCH("Blocked|36",Backlog!$AL$2:$AL$300,0))&amp;" · "&amp;INDEX(Backlog!$D$2:$D$300,MATCH("Blocked|36",Backlog!$AL$2:$AL$300,0)),"")</f>
        <v/>
      </c>
      <c r="F41" s="16">
        <f>IFERROR(INDEX(Backlog!$A$2:$A$300,MATCH("Done|36",Backlog!$AL$2:$AL$300,0))&amp;" · "&amp;INDEX(Backlog!$D$2:$D$300,MATCH("Done|36",Backlog!$AL$2:$AL$300,0)),"")</f>
        <v/>
      </c>
    </row>
    <row r="42" ht="30" customHeight="1">
      <c r="B42" s="16">
        <f>IFERROR(INDEX(Backlog!$A$2:$A$300,MATCH("To Do|37",Backlog!$AL$2:$AL$300,0))&amp;" · "&amp;INDEX(Backlog!$D$2:$D$300,MATCH("To Do|37",Backlog!$AL$2:$AL$300,0)),"")</f>
        <v/>
      </c>
      <c r="C42" s="16">
        <f>IFERROR(INDEX(Backlog!$A$2:$A$300,MATCH("In Progress|37",Backlog!$AL$2:$AL$300,0))&amp;" · "&amp;INDEX(Backlog!$D$2:$D$300,MATCH("In Progress|37",Backlog!$AL$2:$AL$300,0)),"")</f>
        <v/>
      </c>
      <c r="D42" s="16">
        <f>IFERROR(INDEX(Backlog!$A$2:$A$300,MATCH("In Review|37",Backlog!$AL$2:$AL$300,0))&amp;" · "&amp;INDEX(Backlog!$D$2:$D$300,MATCH("In Review|37",Backlog!$AL$2:$AL$300,0)),"")</f>
        <v/>
      </c>
      <c r="E42" s="16">
        <f>IFERROR(INDEX(Backlog!$A$2:$A$300,MATCH("Blocked|37",Backlog!$AL$2:$AL$300,0))&amp;" · "&amp;INDEX(Backlog!$D$2:$D$300,MATCH("Blocked|37",Backlog!$AL$2:$AL$300,0)),"")</f>
        <v/>
      </c>
      <c r="F42" s="16">
        <f>IFERROR(INDEX(Backlog!$A$2:$A$300,MATCH("Done|37",Backlog!$AL$2:$AL$300,0))&amp;" · "&amp;INDEX(Backlog!$D$2:$D$300,MATCH("Done|37",Backlog!$AL$2:$AL$300,0)),"")</f>
        <v/>
      </c>
    </row>
    <row r="43" ht="30" customHeight="1">
      <c r="B43" s="16">
        <f>IFERROR(INDEX(Backlog!$A$2:$A$300,MATCH("To Do|38",Backlog!$AL$2:$AL$300,0))&amp;" · "&amp;INDEX(Backlog!$D$2:$D$300,MATCH("To Do|38",Backlog!$AL$2:$AL$300,0)),"")</f>
        <v/>
      </c>
      <c r="C43" s="16">
        <f>IFERROR(INDEX(Backlog!$A$2:$A$300,MATCH("In Progress|38",Backlog!$AL$2:$AL$300,0))&amp;" · "&amp;INDEX(Backlog!$D$2:$D$300,MATCH("In Progress|38",Backlog!$AL$2:$AL$300,0)),"")</f>
        <v/>
      </c>
      <c r="D43" s="16">
        <f>IFERROR(INDEX(Backlog!$A$2:$A$300,MATCH("In Review|38",Backlog!$AL$2:$AL$300,0))&amp;" · "&amp;INDEX(Backlog!$D$2:$D$300,MATCH("In Review|38",Backlog!$AL$2:$AL$300,0)),"")</f>
        <v/>
      </c>
      <c r="E43" s="16">
        <f>IFERROR(INDEX(Backlog!$A$2:$A$300,MATCH("Blocked|38",Backlog!$AL$2:$AL$300,0))&amp;" · "&amp;INDEX(Backlog!$D$2:$D$300,MATCH("Blocked|38",Backlog!$AL$2:$AL$300,0)),"")</f>
        <v/>
      </c>
      <c r="F43" s="16">
        <f>IFERROR(INDEX(Backlog!$A$2:$A$300,MATCH("Done|38",Backlog!$AL$2:$AL$300,0))&amp;" · "&amp;INDEX(Backlog!$D$2:$D$300,MATCH("Done|38",Backlog!$AL$2:$AL$300,0)),"")</f>
        <v/>
      </c>
    </row>
    <row r="44" ht="30" customHeight="1">
      <c r="B44" s="16">
        <f>IFERROR(INDEX(Backlog!$A$2:$A$300,MATCH("To Do|39",Backlog!$AL$2:$AL$300,0))&amp;" · "&amp;INDEX(Backlog!$D$2:$D$300,MATCH("To Do|39",Backlog!$AL$2:$AL$300,0)),"")</f>
        <v/>
      </c>
      <c r="C44" s="16">
        <f>IFERROR(INDEX(Backlog!$A$2:$A$300,MATCH("In Progress|39",Backlog!$AL$2:$AL$300,0))&amp;" · "&amp;INDEX(Backlog!$D$2:$D$300,MATCH("In Progress|39",Backlog!$AL$2:$AL$300,0)),"")</f>
        <v/>
      </c>
      <c r="D44" s="16">
        <f>IFERROR(INDEX(Backlog!$A$2:$A$300,MATCH("In Review|39",Backlog!$AL$2:$AL$300,0))&amp;" · "&amp;INDEX(Backlog!$D$2:$D$300,MATCH("In Review|39",Backlog!$AL$2:$AL$300,0)),"")</f>
        <v/>
      </c>
      <c r="E44" s="16">
        <f>IFERROR(INDEX(Backlog!$A$2:$A$300,MATCH("Blocked|39",Backlog!$AL$2:$AL$300,0))&amp;" · "&amp;INDEX(Backlog!$D$2:$D$300,MATCH("Blocked|39",Backlog!$AL$2:$AL$300,0)),"")</f>
        <v/>
      </c>
      <c r="F44" s="16">
        <f>IFERROR(INDEX(Backlog!$A$2:$A$300,MATCH("Done|39",Backlog!$AL$2:$AL$300,0))&amp;" · "&amp;INDEX(Backlog!$D$2:$D$300,MATCH("Done|39",Backlog!$AL$2:$AL$300,0)),"")</f>
        <v/>
      </c>
    </row>
    <row r="45" ht="30" customHeight="1">
      <c r="B45" s="16">
        <f>IFERROR(INDEX(Backlog!$A$2:$A$300,MATCH("To Do|40",Backlog!$AL$2:$AL$300,0))&amp;" · "&amp;INDEX(Backlog!$D$2:$D$300,MATCH("To Do|40",Backlog!$AL$2:$AL$300,0)),"")</f>
        <v/>
      </c>
      <c r="C45" s="16">
        <f>IFERROR(INDEX(Backlog!$A$2:$A$300,MATCH("In Progress|40",Backlog!$AL$2:$AL$300,0))&amp;" · "&amp;INDEX(Backlog!$D$2:$D$300,MATCH("In Progress|40",Backlog!$AL$2:$AL$300,0)),"")</f>
        <v/>
      </c>
      <c r="D45" s="16">
        <f>IFERROR(INDEX(Backlog!$A$2:$A$300,MATCH("In Review|40",Backlog!$AL$2:$AL$300,0))&amp;" · "&amp;INDEX(Backlog!$D$2:$D$300,MATCH("In Review|40",Backlog!$AL$2:$AL$300,0)),"")</f>
        <v/>
      </c>
      <c r="E45" s="16">
        <f>IFERROR(INDEX(Backlog!$A$2:$A$300,MATCH("Blocked|40",Backlog!$AL$2:$AL$300,0))&amp;" · "&amp;INDEX(Backlog!$D$2:$D$300,MATCH("Blocked|40",Backlog!$AL$2:$AL$300,0)),"")</f>
        <v/>
      </c>
      <c r="F45" s="16">
        <f>IFERROR(INDEX(Backlog!$A$2:$A$300,MATCH("Done|40",Backlog!$AL$2:$AL$300,0))&amp;" · "&amp;INDEX(Backlog!$D$2:$D$300,MATCH("Done|40",Backlog!$AL$2:$AL$300,0)),"")</f>
        <v/>
      </c>
    </row>
    <row r="46" ht="30" customHeight="1">
      <c r="B46" s="16">
        <f>IFERROR(INDEX(Backlog!$A$2:$A$300,MATCH("To Do|41",Backlog!$AL$2:$AL$300,0))&amp;" · "&amp;INDEX(Backlog!$D$2:$D$300,MATCH("To Do|41",Backlog!$AL$2:$AL$300,0)),"")</f>
        <v/>
      </c>
      <c r="C46" s="16">
        <f>IFERROR(INDEX(Backlog!$A$2:$A$300,MATCH("In Progress|41",Backlog!$AL$2:$AL$300,0))&amp;" · "&amp;INDEX(Backlog!$D$2:$D$300,MATCH("In Progress|41",Backlog!$AL$2:$AL$300,0)),"")</f>
        <v/>
      </c>
      <c r="D46" s="16">
        <f>IFERROR(INDEX(Backlog!$A$2:$A$300,MATCH("In Review|41",Backlog!$AL$2:$AL$300,0))&amp;" · "&amp;INDEX(Backlog!$D$2:$D$300,MATCH("In Review|41",Backlog!$AL$2:$AL$300,0)),"")</f>
        <v/>
      </c>
      <c r="E46" s="16">
        <f>IFERROR(INDEX(Backlog!$A$2:$A$300,MATCH("Blocked|41",Backlog!$AL$2:$AL$300,0))&amp;" · "&amp;INDEX(Backlog!$D$2:$D$300,MATCH("Blocked|41",Backlog!$AL$2:$AL$300,0)),"")</f>
        <v/>
      </c>
      <c r="F46" s="16">
        <f>IFERROR(INDEX(Backlog!$A$2:$A$300,MATCH("Done|41",Backlog!$AL$2:$AL$300,0))&amp;" · "&amp;INDEX(Backlog!$D$2:$D$300,MATCH("Done|41",Backlog!$AL$2:$AL$300,0)),"")</f>
        <v/>
      </c>
    </row>
    <row r="47" ht="30" customHeight="1">
      <c r="B47" s="16">
        <f>IFERROR(INDEX(Backlog!$A$2:$A$300,MATCH("To Do|42",Backlog!$AL$2:$AL$300,0))&amp;" · "&amp;INDEX(Backlog!$D$2:$D$300,MATCH("To Do|42",Backlog!$AL$2:$AL$300,0)),"")</f>
        <v/>
      </c>
      <c r="C47" s="16">
        <f>IFERROR(INDEX(Backlog!$A$2:$A$300,MATCH("In Progress|42",Backlog!$AL$2:$AL$300,0))&amp;" · "&amp;INDEX(Backlog!$D$2:$D$300,MATCH("In Progress|42",Backlog!$AL$2:$AL$300,0)),"")</f>
        <v/>
      </c>
      <c r="D47" s="16">
        <f>IFERROR(INDEX(Backlog!$A$2:$A$300,MATCH("In Review|42",Backlog!$AL$2:$AL$300,0))&amp;" · "&amp;INDEX(Backlog!$D$2:$D$300,MATCH("In Review|42",Backlog!$AL$2:$AL$300,0)),"")</f>
        <v/>
      </c>
      <c r="E47" s="16">
        <f>IFERROR(INDEX(Backlog!$A$2:$A$300,MATCH("Blocked|42",Backlog!$AL$2:$AL$300,0))&amp;" · "&amp;INDEX(Backlog!$D$2:$D$300,MATCH("Blocked|42",Backlog!$AL$2:$AL$300,0)),"")</f>
        <v/>
      </c>
      <c r="F47" s="16">
        <f>IFERROR(INDEX(Backlog!$A$2:$A$300,MATCH("Done|42",Backlog!$AL$2:$AL$300,0))&amp;" · "&amp;INDEX(Backlog!$D$2:$D$300,MATCH("Done|42",Backlog!$AL$2:$AL$300,0)),"")</f>
        <v/>
      </c>
    </row>
    <row r="48" ht="30" customHeight="1">
      <c r="B48" s="16">
        <f>IFERROR(INDEX(Backlog!$A$2:$A$300,MATCH("To Do|43",Backlog!$AL$2:$AL$300,0))&amp;" · "&amp;INDEX(Backlog!$D$2:$D$300,MATCH("To Do|43",Backlog!$AL$2:$AL$300,0)),"")</f>
        <v/>
      </c>
      <c r="C48" s="16">
        <f>IFERROR(INDEX(Backlog!$A$2:$A$300,MATCH("In Progress|43",Backlog!$AL$2:$AL$300,0))&amp;" · "&amp;INDEX(Backlog!$D$2:$D$300,MATCH("In Progress|43",Backlog!$AL$2:$AL$300,0)),"")</f>
        <v/>
      </c>
      <c r="D48" s="16">
        <f>IFERROR(INDEX(Backlog!$A$2:$A$300,MATCH("In Review|43",Backlog!$AL$2:$AL$300,0))&amp;" · "&amp;INDEX(Backlog!$D$2:$D$300,MATCH("In Review|43",Backlog!$AL$2:$AL$300,0)),"")</f>
        <v/>
      </c>
      <c r="E48" s="16">
        <f>IFERROR(INDEX(Backlog!$A$2:$A$300,MATCH("Blocked|43",Backlog!$AL$2:$AL$300,0))&amp;" · "&amp;INDEX(Backlog!$D$2:$D$300,MATCH("Blocked|43",Backlog!$AL$2:$AL$300,0)),"")</f>
        <v/>
      </c>
      <c r="F48" s="16">
        <f>IFERROR(INDEX(Backlog!$A$2:$A$300,MATCH("Done|43",Backlog!$AL$2:$AL$300,0))&amp;" · "&amp;INDEX(Backlog!$D$2:$D$300,MATCH("Done|43",Backlog!$AL$2:$AL$300,0)),"")</f>
        <v/>
      </c>
    </row>
    <row r="49" ht="30" customHeight="1">
      <c r="B49" s="16">
        <f>IFERROR(INDEX(Backlog!$A$2:$A$300,MATCH("To Do|44",Backlog!$AL$2:$AL$300,0))&amp;" · "&amp;INDEX(Backlog!$D$2:$D$300,MATCH("To Do|44",Backlog!$AL$2:$AL$300,0)),"")</f>
        <v/>
      </c>
      <c r="C49" s="16">
        <f>IFERROR(INDEX(Backlog!$A$2:$A$300,MATCH("In Progress|44",Backlog!$AL$2:$AL$300,0))&amp;" · "&amp;INDEX(Backlog!$D$2:$D$300,MATCH("In Progress|44",Backlog!$AL$2:$AL$300,0)),"")</f>
        <v/>
      </c>
      <c r="D49" s="16">
        <f>IFERROR(INDEX(Backlog!$A$2:$A$300,MATCH("In Review|44",Backlog!$AL$2:$AL$300,0))&amp;" · "&amp;INDEX(Backlog!$D$2:$D$300,MATCH("In Review|44",Backlog!$AL$2:$AL$300,0)),"")</f>
        <v/>
      </c>
      <c r="E49" s="16">
        <f>IFERROR(INDEX(Backlog!$A$2:$A$300,MATCH("Blocked|44",Backlog!$AL$2:$AL$300,0))&amp;" · "&amp;INDEX(Backlog!$D$2:$D$300,MATCH("Blocked|44",Backlog!$AL$2:$AL$300,0)),"")</f>
        <v/>
      </c>
      <c r="F49" s="16">
        <f>IFERROR(INDEX(Backlog!$A$2:$A$300,MATCH("Done|44",Backlog!$AL$2:$AL$300,0))&amp;" · "&amp;INDEX(Backlog!$D$2:$D$300,MATCH("Done|44",Backlog!$AL$2:$AL$300,0)),"")</f>
        <v/>
      </c>
    </row>
    <row r="50" ht="30" customHeight="1">
      <c r="B50" s="16">
        <f>IFERROR(INDEX(Backlog!$A$2:$A$300,MATCH("To Do|45",Backlog!$AL$2:$AL$300,0))&amp;" · "&amp;INDEX(Backlog!$D$2:$D$300,MATCH("To Do|45",Backlog!$AL$2:$AL$300,0)),"")</f>
        <v/>
      </c>
      <c r="C50" s="16">
        <f>IFERROR(INDEX(Backlog!$A$2:$A$300,MATCH("In Progress|45",Backlog!$AL$2:$AL$300,0))&amp;" · "&amp;INDEX(Backlog!$D$2:$D$300,MATCH("In Progress|45",Backlog!$AL$2:$AL$300,0)),"")</f>
        <v/>
      </c>
      <c r="D50" s="16">
        <f>IFERROR(INDEX(Backlog!$A$2:$A$300,MATCH("In Review|45",Backlog!$AL$2:$AL$300,0))&amp;" · "&amp;INDEX(Backlog!$D$2:$D$300,MATCH("In Review|45",Backlog!$AL$2:$AL$300,0)),"")</f>
        <v/>
      </c>
      <c r="E50" s="16">
        <f>IFERROR(INDEX(Backlog!$A$2:$A$300,MATCH("Blocked|45",Backlog!$AL$2:$AL$300,0))&amp;" · "&amp;INDEX(Backlog!$D$2:$D$300,MATCH("Blocked|45",Backlog!$AL$2:$AL$300,0)),"")</f>
        <v/>
      </c>
      <c r="F50" s="16">
        <f>IFERROR(INDEX(Backlog!$A$2:$A$300,MATCH("Done|45",Backlog!$AL$2:$AL$300,0))&amp;" · "&amp;INDEX(Backlog!$D$2:$D$300,MATCH("Done|45",Backlog!$AL$2:$AL$300,0)),"")</f>
        <v/>
      </c>
    </row>
    <row r="51" ht="30" customHeight="1">
      <c r="B51" s="16">
        <f>IFERROR(INDEX(Backlog!$A$2:$A$300,MATCH("To Do|46",Backlog!$AL$2:$AL$300,0))&amp;" · "&amp;INDEX(Backlog!$D$2:$D$300,MATCH("To Do|46",Backlog!$AL$2:$AL$300,0)),"")</f>
        <v/>
      </c>
      <c r="C51" s="16">
        <f>IFERROR(INDEX(Backlog!$A$2:$A$300,MATCH("In Progress|46",Backlog!$AL$2:$AL$300,0))&amp;" · "&amp;INDEX(Backlog!$D$2:$D$300,MATCH("In Progress|46",Backlog!$AL$2:$AL$300,0)),"")</f>
        <v/>
      </c>
      <c r="D51" s="16">
        <f>IFERROR(INDEX(Backlog!$A$2:$A$300,MATCH("In Review|46",Backlog!$AL$2:$AL$300,0))&amp;" · "&amp;INDEX(Backlog!$D$2:$D$300,MATCH("In Review|46",Backlog!$AL$2:$AL$300,0)),"")</f>
        <v/>
      </c>
      <c r="E51" s="16">
        <f>IFERROR(INDEX(Backlog!$A$2:$A$300,MATCH("Blocked|46",Backlog!$AL$2:$AL$300,0))&amp;" · "&amp;INDEX(Backlog!$D$2:$D$300,MATCH("Blocked|46",Backlog!$AL$2:$AL$300,0)),"")</f>
        <v/>
      </c>
      <c r="F51" s="16">
        <f>IFERROR(INDEX(Backlog!$A$2:$A$300,MATCH("Done|46",Backlog!$AL$2:$AL$300,0))&amp;" · "&amp;INDEX(Backlog!$D$2:$D$300,MATCH("Done|46",Backlog!$AL$2:$AL$300,0)),"")</f>
        <v/>
      </c>
    </row>
    <row r="52" ht="30" customHeight="1">
      <c r="B52" s="16">
        <f>IFERROR(INDEX(Backlog!$A$2:$A$300,MATCH("To Do|47",Backlog!$AL$2:$AL$300,0))&amp;" · "&amp;INDEX(Backlog!$D$2:$D$300,MATCH("To Do|47",Backlog!$AL$2:$AL$300,0)),"")</f>
        <v/>
      </c>
      <c r="C52" s="16">
        <f>IFERROR(INDEX(Backlog!$A$2:$A$300,MATCH("In Progress|47",Backlog!$AL$2:$AL$300,0))&amp;" · "&amp;INDEX(Backlog!$D$2:$D$300,MATCH("In Progress|47",Backlog!$AL$2:$AL$300,0)),"")</f>
        <v/>
      </c>
      <c r="D52" s="16">
        <f>IFERROR(INDEX(Backlog!$A$2:$A$300,MATCH("In Review|47",Backlog!$AL$2:$AL$300,0))&amp;" · "&amp;INDEX(Backlog!$D$2:$D$300,MATCH("In Review|47",Backlog!$AL$2:$AL$300,0)),"")</f>
        <v/>
      </c>
      <c r="E52" s="16">
        <f>IFERROR(INDEX(Backlog!$A$2:$A$300,MATCH("Blocked|47",Backlog!$AL$2:$AL$300,0))&amp;" · "&amp;INDEX(Backlog!$D$2:$D$300,MATCH("Blocked|47",Backlog!$AL$2:$AL$300,0)),"")</f>
        <v/>
      </c>
      <c r="F52" s="16">
        <f>IFERROR(INDEX(Backlog!$A$2:$A$300,MATCH("Done|47",Backlog!$AL$2:$AL$300,0))&amp;" · "&amp;INDEX(Backlog!$D$2:$D$300,MATCH("Done|47",Backlog!$AL$2:$AL$300,0)),"")</f>
        <v/>
      </c>
    </row>
    <row r="53" ht="30" customHeight="1">
      <c r="B53" s="16">
        <f>IFERROR(INDEX(Backlog!$A$2:$A$300,MATCH("To Do|48",Backlog!$AL$2:$AL$300,0))&amp;" · "&amp;INDEX(Backlog!$D$2:$D$300,MATCH("To Do|48",Backlog!$AL$2:$AL$300,0)),"")</f>
        <v/>
      </c>
      <c r="C53" s="16">
        <f>IFERROR(INDEX(Backlog!$A$2:$A$300,MATCH("In Progress|48",Backlog!$AL$2:$AL$300,0))&amp;" · "&amp;INDEX(Backlog!$D$2:$D$300,MATCH("In Progress|48",Backlog!$AL$2:$AL$300,0)),"")</f>
        <v/>
      </c>
      <c r="D53" s="16">
        <f>IFERROR(INDEX(Backlog!$A$2:$A$300,MATCH("In Review|48",Backlog!$AL$2:$AL$300,0))&amp;" · "&amp;INDEX(Backlog!$D$2:$D$300,MATCH("In Review|48",Backlog!$AL$2:$AL$300,0)),"")</f>
        <v/>
      </c>
      <c r="E53" s="16">
        <f>IFERROR(INDEX(Backlog!$A$2:$A$300,MATCH("Blocked|48",Backlog!$AL$2:$AL$300,0))&amp;" · "&amp;INDEX(Backlog!$D$2:$D$300,MATCH("Blocked|48",Backlog!$AL$2:$AL$300,0)),"")</f>
        <v/>
      </c>
      <c r="F53" s="16">
        <f>IFERROR(INDEX(Backlog!$A$2:$A$300,MATCH("Done|48",Backlog!$AL$2:$AL$300,0))&amp;" · "&amp;INDEX(Backlog!$D$2:$D$300,MATCH("Done|48",Backlog!$AL$2:$AL$300,0)),"")</f>
        <v/>
      </c>
    </row>
    <row r="54" ht="30" customHeight="1">
      <c r="B54" s="16">
        <f>IFERROR(INDEX(Backlog!$A$2:$A$300,MATCH("To Do|49",Backlog!$AL$2:$AL$300,0))&amp;" · "&amp;INDEX(Backlog!$D$2:$D$300,MATCH("To Do|49",Backlog!$AL$2:$AL$300,0)),"")</f>
        <v/>
      </c>
      <c r="C54" s="16">
        <f>IFERROR(INDEX(Backlog!$A$2:$A$300,MATCH("In Progress|49",Backlog!$AL$2:$AL$300,0))&amp;" · "&amp;INDEX(Backlog!$D$2:$D$300,MATCH("In Progress|49",Backlog!$AL$2:$AL$300,0)),"")</f>
        <v/>
      </c>
      <c r="D54" s="16">
        <f>IFERROR(INDEX(Backlog!$A$2:$A$300,MATCH("In Review|49",Backlog!$AL$2:$AL$300,0))&amp;" · "&amp;INDEX(Backlog!$D$2:$D$300,MATCH("In Review|49",Backlog!$AL$2:$AL$300,0)),"")</f>
        <v/>
      </c>
      <c r="E54" s="16">
        <f>IFERROR(INDEX(Backlog!$A$2:$A$300,MATCH("Blocked|49",Backlog!$AL$2:$AL$300,0))&amp;" · "&amp;INDEX(Backlog!$D$2:$D$300,MATCH("Blocked|49",Backlog!$AL$2:$AL$300,0)),"")</f>
        <v/>
      </c>
      <c r="F54" s="16">
        <f>IFERROR(INDEX(Backlog!$A$2:$A$300,MATCH("Done|49",Backlog!$AL$2:$AL$300,0))&amp;" · "&amp;INDEX(Backlog!$D$2:$D$300,MATCH("Done|49",Backlog!$AL$2:$AL$300,0)),"")</f>
        <v/>
      </c>
    </row>
    <row r="55" ht="30" customHeight="1">
      <c r="B55" s="16">
        <f>IFERROR(INDEX(Backlog!$A$2:$A$300,MATCH("To Do|50",Backlog!$AL$2:$AL$300,0))&amp;" · "&amp;INDEX(Backlog!$D$2:$D$300,MATCH("To Do|50",Backlog!$AL$2:$AL$300,0)),"")</f>
        <v/>
      </c>
      <c r="C55" s="16">
        <f>IFERROR(INDEX(Backlog!$A$2:$A$300,MATCH("In Progress|50",Backlog!$AL$2:$AL$300,0))&amp;" · "&amp;INDEX(Backlog!$D$2:$D$300,MATCH("In Progress|50",Backlog!$AL$2:$AL$300,0)),"")</f>
        <v/>
      </c>
      <c r="D55" s="16">
        <f>IFERROR(INDEX(Backlog!$A$2:$A$300,MATCH("In Review|50",Backlog!$AL$2:$AL$300,0))&amp;" · "&amp;INDEX(Backlog!$D$2:$D$300,MATCH("In Review|50",Backlog!$AL$2:$AL$300,0)),"")</f>
        <v/>
      </c>
      <c r="E55" s="16">
        <f>IFERROR(INDEX(Backlog!$A$2:$A$300,MATCH("Blocked|50",Backlog!$AL$2:$AL$300,0))&amp;" · "&amp;INDEX(Backlog!$D$2:$D$300,MATCH("Blocked|50",Backlog!$AL$2:$AL$300,0)),"")</f>
        <v/>
      </c>
      <c r="F55" s="16">
        <f>IFERROR(INDEX(Backlog!$A$2:$A$300,MATCH("Done|50",Backlog!$AL$2:$AL$300,0))&amp;" · "&amp;INDEX(Backlog!$D$2:$D$300,MATCH("Done|50",Backlog!$AL$2:$AL$300,0)),"")</f>
        <v/>
      </c>
    </row>
    <row r="56" ht="30" customHeight="1">
      <c r="B56" s="16">
        <f>IFERROR(INDEX(Backlog!$A$2:$A$300,MATCH("To Do|51",Backlog!$AL$2:$AL$300,0))&amp;" · "&amp;INDEX(Backlog!$D$2:$D$300,MATCH("To Do|51",Backlog!$AL$2:$AL$300,0)),"")</f>
        <v/>
      </c>
      <c r="C56" s="16">
        <f>IFERROR(INDEX(Backlog!$A$2:$A$300,MATCH("In Progress|51",Backlog!$AL$2:$AL$300,0))&amp;" · "&amp;INDEX(Backlog!$D$2:$D$300,MATCH("In Progress|51",Backlog!$AL$2:$AL$300,0)),"")</f>
        <v/>
      </c>
      <c r="D56" s="16">
        <f>IFERROR(INDEX(Backlog!$A$2:$A$300,MATCH("In Review|51",Backlog!$AL$2:$AL$300,0))&amp;" · "&amp;INDEX(Backlog!$D$2:$D$300,MATCH("In Review|51",Backlog!$AL$2:$AL$300,0)),"")</f>
        <v/>
      </c>
      <c r="E56" s="16">
        <f>IFERROR(INDEX(Backlog!$A$2:$A$300,MATCH("Blocked|51",Backlog!$AL$2:$AL$300,0))&amp;" · "&amp;INDEX(Backlog!$D$2:$D$300,MATCH("Blocked|51",Backlog!$AL$2:$AL$300,0)),"")</f>
        <v/>
      </c>
      <c r="F56" s="16">
        <f>IFERROR(INDEX(Backlog!$A$2:$A$300,MATCH("Done|51",Backlog!$AL$2:$AL$300,0))&amp;" · "&amp;INDEX(Backlog!$D$2:$D$300,MATCH("Done|51",Backlog!$AL$2:$AL$300,0)),"")</f>
        <v/>
      </c>
    </row>
    <row r="57" ht="30" customHeight="1">
      <c r="B57" s="16">
        <f>IFERROR(INDEX(Backlog!$A$2:$A$300,MATCH("To Do|52",Backlog!$AL$2:$AL$300,0))&amp;" · "&amp;INDEX(Backlog!$D$2:$D$300,MATCH("To Do|52",Backlog!$AL$2:$AL$300,0)),"")</f>
        <v/>
      </c>
      <c r="C57" s="16">
        <f>IFERROR(INDEX(Backlog!$A$2:$A$300,MATCH("In Progress|52",Backlog!$AL$2:$AL$300,0))&amp;" · "&amp;INDEX(Backlog!$D$2:$D$300,MATCH("In Progress|52",Backlog!$AL$2:$AL$300,0)),"")</f>
        <v/>
      </c>
      <c r="D57" s="16">
        <f>IFERROR(INDEX(Backlog!$A$2:$A$300,MATCH("In Review|52",Backlog!$AL$2:$AL$300,0))&amp;" · "&amp;INDEX(Backlog!$D$2:$D$300,MATCH("In Review|52",Backlog!$AL$2:$AL$300,0)),"")</f>
        <v/>
      </c>
      <c r="E57" s="16">
        <f>IFERROR(INDEX(Backlog!$A$2:$A$300,MATCH("Blocked|52",Backlog!$AL$2:$AL$300,0))&amp;" · "&amp;INDEX(Backlog!$D$2:$D$300,MATCH("Blocked|52",Backlog!$AL$2:$AL$300,0)),"")</f>
        <v/>
      </c>
      <c r="F57" s="16">
        <f>IFERROR(INDEX(Backlog!$A$2:$A$300,MATCH("Done|52",Backlog!$AL$2:$AL$300,0))&amp;" · "&amp;INDEX(Backlog!$D$2:$D$300,MATCH("Done|52",Backlog!$AL$2:$AL$300,0)),"")</f>
        <v/>
      </c>
    </row>
    <row r="58" ht="30" customHeight="1">
      <c r="B58" s="16">
        <f>IFERROR(INDEX(Backlog!$A$2:$A$300,MATCH("To Do|53",Backlog!$AL$2:$AL$300,0))&amp;" · "&amp;INDEX(Backlog!$D$2:$D$300,MATCH("To Do|53",Backlog!$AL$2:$AL$300,0)),"")</f>
        <v/>
      </c>
      <c r="C58" s="16">
        <f>IFERROR(INDEX(Backlog!$A$2:$A$300,MATCH("In Progress|53",Backlog!$AL$2:$AL$300,0))&amp;" · "&amp;INDEX(Backlog!$D$2:$D$300,MATCH("In Progress|53",Backlog!$AL$2:$AL$300,0)),"")</f>
        <v/>
      </c>
      <c r="D58" s="16">
        <f>IFERROR(INDEX(Backlog!$A$2:$A$300,MATCH("In Review|53",Backlog!$AL$2:$AL$300,0))&amp;" · "&amp;INDEX(Backlog!$D$2:$D$300,MATCH("In Review|53",Backlog!$AL$2:$AL$300,0)),"")</f>
        <v/>
      </c>
      <c r="E58" s="16">
        <f>IFERROR(INDEX(Backlog!$A$2:$A$300,MATCH("Blocked|53",Backlog!$AL$2:$AL$300,0))&amp;" · "&amp;INDEX(Backlog!$D$2:$D$300,MATCH("Blocked|53",Backlog!$AL$2:$AL$300,0)),"")</f>
        <v/>
      </c>
      <c r="F58" s="16">
        <f>IFERROR(INDEX(Backlog!$A$2:$A$300,MATCH("Done|53",Backlog!$AL$2:$AL$300,0))&amp;" · "&amp;INDEX(Backlog!$D$2:$D$300,MATCH("Done|53",Backlog!$AL$2:$AL$300,0)),"")</f>
        <v/>
      </c>
    </row>
    <row r="59" ht="30" customHeight="1">
      <c r="B59" s="16">
        <f>IFERROR(INDEX(Backlog!$A$2:$A$300,MATCH("To Do|54",Backlog!$AL$2:$AL$300,0))&amp;" · "&amp;INDEX(Backlog!$D$2:$D$300,MATCH("To Do|54",Backlog!$AL$2:$AL$300,0)),"")</f>
        <v/>
      </c>
      <c r="C59" s="16">
        <f>IFERROR(INDEX(Backlog!$A$2:$A$300,MATCH("In Progress|54",Backlog!$AL$2:$AL$300,0))&amp;" · "&amp;INDEX(Backlog!$D$2:$D$300,MATCH("In Progress|54",Backlog!$AL$2:$AL$300,0)),"")</f>
        <v/>
      </c>
      <c r="D59" s="16">
        <f>IFERROR(INDEX(Backlog!$A$2:$A$300,MATCH("In Review|54",Backlog!$AL$2:$AL$300,0))&amp;" · "&amp;INDEX(Backlog!$D$2:$D$300,MATCH("In Review|54",Backlog!$AL$2:$AL$300,0)),"")</f>
        <v/>
      </c>
      <c r="E59" s="16">
        <f>IFERROR(INDEX(Backlog!$A$2:$A$300,MATCH("Blocked|54",Backlog!$AL$2:$AL$300,0))&amp;" · "&amp;INDEX(Backlog!$D$2:$D$300,MATCH("Blocked|54",Backlog!$AL$2:$AL$300,0)),"")</f>
        <v/>
      </c>
      <c r="F59" s="16">
        <f>IFERROR(INDEX(Backlog!$A$2:$A$300,MATCH("Done|54",Backlog!$AL$2:$AL$300,0))&amp;" · "&amp;INDEX(Backlog!$D$2:$D$300,MATCH("Done|54",Backlog!$AL$2:$AL$300,0)),"")</f>
        <v/>
      </c>
    </row>
    <row r="60" ht="30" customHeight="1">
      <c r="B60" s="16">
        <f>IFERROR(INDEX(Backlog!$A$2:$A$300,MATCH("To Do|55",Backlog!$AL$2:$AL$300,0))&amp;" · "&amp;INDEX(Backlog!$D$2:$D$300,MATCH("To Do|55",Backlog!$AL$2:$AL$300,0)),"")</f>
        <v/>
      </c>
      <c r="C60" s="16">
        <f>IFERROR(INDEX(Backlog!$A$2:$A$300,MATCH("In Progress|55",Backlog!$AL$2:$AL$300,0))&amp;" · "&amp;INDEX(Backlog!$D$2:$D$300,MATCH("In Progress|55",Backlog!$AL$2:$AL$300,0)),"")</f>
        <v/>
      </c>
      <c r="D60" s="16">
        <f>IFERROR(INDEX(Backlog!$A$2:$A$300,MATCH("In Review|55",Backlog!$AL$2:$AL$300,0))&amp;" · "&amp;INDEX(Backlog!$D$2:$D$300,MATCH("In Review|55",Backlog!$AL$2:$AL$300,0)),"")</f>
        <v/>
      </c>
      <c r="E60" s="16">
        <f>IFERROR(INDEX(Backlog!$A$2:$A$300,MATCH("Blocked|55",Backlog!$AL$2:$AL$300,0))&amp;" · "&amp;INDEX(Backlog!$D$2:$D$300,MATCH("Blocked|55",Backlog!$AL$2:$AL$300,0)),"")</f>
        <v/>
      </c>
      <c r="F60" s="16">
        <f>IFERROR(INDEX(Backlog!$A$2:$A$300,MATCH("Done|55",Backlog!$AL$2:$AL$300,0))&amp;" · "&amp;INDEX(Backlog!$D$2:$D$300,MATCH("Done|55",Backlog!$AL$2:$AL$300,0)),"")</f>
        <v/>
      </c>
    </row>
    <row r="61" ht="30" customHeight="1">
      <c r="B61" s="16">
        <f>IFERROR(INDEX(Backlog!$A$2:$A$300,MATCH("To Do|56",Backlog!$AL$2:$AL$300,0))&amp;" · "&amp;INDEX(Backlog!$D$2:$D$300,MATCH("To Do|56",Backlog!$AL$2:$AL$300,0)),"")</f>
        <v/>
      </c>
      <c r="C61" s="16">
        <f>IFERROR(INDEX(Backlog!$A$2:$A$300,MATCH("In Progress|56",Backlog!$AL$2:$AL$300,0))&amp;" · "&amp;INDEX(Backlog!$D$2:$D$300,MATCH("In Progress|56",Backlog!$AL$2:$AL$300,0)),"")</f>
        <v/>
      </c>
      <c r="D61" s="16">
        <f>IFERROR(INDEX(Backlog!$A$2:$A$300,MATCH("In Review|56",Backlog!$AL$2:$AL$300,0))&amp;" · "&amp;INDEX(Backlog!$D$2:$D$300,MATCH("In Review|56",Backlog!$AL$2:$AL$300,0)),"")</f>
        <v/>
      </c>
      <c r="E61" s="16">
        <f>IFERROR(INDEX(Backlog!$A$2:$A$300,MATCH("Blocked|56",Backlog!$AL$2:$AL$300,0))&amp;" · "&amp;INDEX(Backlog!$D$2:$D$300,MATCH("Blocked|56",Backlog!$AL$2:$AL$300,0)),"")</f>
        <v/>
      </c>
      <c r="F61" s="16">
        <f>IFERROR(INDEX(Backlog!$A$2:$A$300,MATCH("Done|56",Backlog!$AL$2:$AL$300,0))&amp;" · "&amp;INDEX(Backlog!$D$2:$D$300,MATCH("Done|56",Backlog!$AL$2:$AL$300,0)),"")</f>
        <v/>
      </c>
    </row>
    <row r="62" ht="30" customHeight="1">
      <c r="B62" s="16">
        <f>IFERROR(INDEX(Backlog!$A$2:$A$300,MATCH("To Do|57",Backlog!$AL$2:$AL$300,0))&amp;" · "&amp;INDEX(Backlog!$D$2:$D$300,MATCH("To Do|57",Backlog!$AL$2:$AL$300,0)),"")</f>
        <v/>
      </c>
      <c r="C62" s="16">
        <f>IFERROR(INDEX(Backlog!$A$2:$A$300,MATCH("In Progress|57",Backlog!$AL$2:$AL$300,0))&amp;" · "&amp;INDEX(Backlog!$D$2:$D$300,MATCH("In Progress|57",Backlog!$AL$2:$AL$300,0)),"")</f>
        <v/>
      </c>
      <c r="D62" s="16">
        <f>IFERROR(INDEX(Backlog!$A$2:$A$300,MATCH("In Review|57",Backlog!$AL$2:$AL$300,0))&amp;" · "&amp;INDEX(Backlog!$D$2:$D$300,MATCH("In Review|57",Backlog!$AL$2:$AL$300,0)),"")</f>
        <v/>
      </c>
      <c r="E62" s="16">
        <f>IFERROR(INDEX(Backlog!$A$2:$A$300,MATCH("Blocked|57",Backlog!$AL$2:$AL$300,0))&amp;" · "&amp;INDEX(Backlog!$D$2:$D$300,MATCH("Blocked|57",Backlog!$AL$2:$AL$300,0)),"")</f>
        <v/>
      </c>
      <c r="F62" s="16">
        <f>IFERROR(INDEX(Backlog!$A$2:$A$300,MATCH("Done|57",Backlog!$AL$2:$AL$300,0))&amp;" · "&amp;INDEX(Backlog!$D$2:$D$300,MATCH("Done|57",Backlog!$AL$2:$AL$300,0)),"")</f>
        <v/>
      </c>
    </row>
    <row r="63" ht="30" customHeight="1">
      <c r="B63" s="16">
        <f>IFERROR(INDEX(Backlog!$A$2:$A$300,MATCH("To Do|58",Backlog!$AL$2:$AL$300,0))&amp;" · "&amp;INDEX(Backlog!$D$2:$D$300,MATCH("To Do|58",Backlog!$AL$2:$AL$300,0)),"")</f>
        <v/>
      </c>
      <c r="C63" s="16">
        <f>IFERROR(INDEX(Backlog!$A$2:$A$300,MATCH("In Progress|58",Backlog!$AL$2:$AL$300,0))&amp;" · "&amp;INDEX(Backlog!$D$2:$D$300,MATCH("In Progress|58",Backlog!$AL$2:$AL$300,0)),"")</f>
        <v/>
      </c>
      <c r="D63" s="16">
        <f>IFERROR(INDEX(Backlog!$A$2:$A$300,MATCH("In Review|58",Backlog!$AL$2:$AL$300,0))&amp;" · "&amp;INDEX(Backlog!$D$2:$D$300,MATCH("In Review|58",Backlog!$AL$2:$AL$300,0)),"")</f>
        <v/>
      </c>
      <c r="E63" s="16">
        <f>IFERROR(INDEX(Backlog!$A$2:$A$300,MATCH("Blocked|58",Backlog!$AL$2:$AL$300,0))&amp;" · "&amp;INDEX(Backlog!$D$2:$D$300,MATCH("Blocked|58",Backlog!$AL$2:$AL$300,0)),"")</f>
        <v/>
      </c>
      <c r="F63" s="16">
        <f>IFERROR(INDEX(Backlog!$A$2:$A$300,MATCH("Done|58",Backlog!$AL$2:$AL$300,0))&amp;" · "&amp;INDEX(Backlog!$D$2:$D$300,MATCH("Done|58",Backlog!$AL$2:$AL$300,0)),"")</f>
        <v/>
      </c>
    </row>
    <row r="64" ht="30" customHeight="1">
      <c r="B64" s="16">
        <f>IFERROR(INDEX(Backlog!$A$2:$A$300,MATCH("To Do|59",Backlog!$AL$2:$AL$300,0))&amp;" · "&amp;INDEX(Backlog!$D$2:$D$300,MATCH("To Do|59",Backlog!$AL$2:$AL$300,0)),"")</f>
        <v/>
      </c>
      <c r="C64" s="16">
        <f>IFERROR(INDEX(Backlog!$A$2:$A$300,MATCH("In Progress|59",Backlog!$AL$2:$AL$300,0))&amp;" · "&amp;INDEX(Backlog!$D$2:$D$300,MATCH("In Progress|59",Backlog!$AL$2:$AL$300,0)),"")</f>
        <v/>
      </c>
      <c r="D64" s="16">
        <f>IFERROR(INDEX(Backlog!$A$2:$A$300,MATCH("In Review|59",Backlog!$AL$2:$AL$300,0))&amp;" · "&amp;INDEX(Backlog!$D$2:$D$300,MATCH("In Review|59",Backlog!$AL$2:$AL$300,0)),"")</f>
        <v/>
      </c>
      <c r="E64" s="16">
        <f>IFERROR(INDEX(Backlog!$A$2:$A$300,MATCH("Blocked|59",Backlog!$AL$2:$AL$300,0))&amp;" · "&amp;INDEX(Backlog!$D$2:$D$300,MATCH("Blocked|59",Backlog!$AL$2:$AL$300,0)),"")</f>
        <v/>
      </c>
      <c r="F64" s="16">
        <f>IFERROR(INDEX(Backlog!$A$2:$A$300,MATCH("Done|59",Backlog!$AL$2:$AL$300,0))&amp;" · "&amp;INDEX(Backlog!$D$2:$D$300,MATCH("Done|59",Backlog!$AL$2:$AL$300,0)),"")</f>
        <v/>
      </c>
    </row>
    <row r="65" ht="30" customHeight="1">
      <c r="B65" s="16">
        <f>IFERROR(INDEX(Backlog!$A$2:$A$300,MATCH("To Do|60",Backlog!$AL$2:$AL$300,0))&amp;" · "&amp;INDEX(Backlog!$D$2:$D$300,MATCH("To Do|60",Backlog!$AL$2:$AL$300,0)),"")</f>
        <v/>
      </c>
      <c r="C65" s="16">
        <f>IFERROR(INDEX(Backlog!$A$2:$A$300,MATCH("In Progress|60",Backlog!$AL$2:$AL$300,0))&amp;" · "&amp;INDEX(Backlog!$D$2:$D$300,MATCH("In Progress|60",Backlog!$AL$2:$AL$300,0)),"")</f>
        <v/>
      </c>
      <c r="D65" s="16">
        <f>IFERROR(INDEX(Backlog!$A$2:$A$300,MATCH("In Review|60",Backlog!$AL$2:$AL$300,0))&amp;" · "&amp;INDEX(Backlog!$D$2:$D$300,MATCH("In Review|60",Backlog!$AL$2:$AL$300,0)),"")</f>
        <v/>
      </c>
      <c r="E65" s="16">
        <f>IFERROR(INDEX(Backlog!$A$2:$A$300,MATCH("Blocked|60",Backlog!$AL$2:$AL$300,0))&amp;" · "&amp;INDEX(Backlog!$D$2:$D$300,MATCH("Blocked|60",Backlog!$AL$2:$AL$300,0)),"")</f>
        <v/>
      </c>
      <c r="F65" s="16">
        <f>IFERROR(INDEX(Backlog!$A$2:$A$300,MATCH("Done|60",Backlog!$AL$2:$AL$300,0))&amp;" · "&amp;INDEX(Backlog!$D$2:$D$300,MATCH("Done|60",Backlog!$AL$2:$AL$300,0)),"")</f>
        <v/>
      </c>
    </row>
    <row r="66" ht="30" customHeight="1">
      <c r="B66" s="16">
        <f>IFERROR(INDEX(Backlog!$A$2:$A$300,MATCH("To Do|61",Backlog!$AL$2:$AL$300,0))&amp;" · "&amp;INDEX(Backlog!$D$2:$D$300,MATCH("To Do|61",Backlog!$AL$2:$AL$300,0)),"")</f>
        <v/>
      </c>
      <c r="C66" s="16">
        <f>IFERROR(INDEX(Backlog!$A$2:$A$300,MATCH("In Progress|61",Backlog!$AL$2:$AL$300,0))&amp;" · "&amp;INDEX(Backlog!$D$2:$D$300,MATCH("In Progress|61",Backlog!$AL$2:$AL$300,0)),"")</f>
        <v/>
      </c>
      <c r="D66" s="16">
        <f>IFERROR(INDEX(Backlog!$A$2:$A$300,MATCH("In Review|61",Backlog!$AL$2:$AL$300,0))&amp;" · "&amp;INDEX(Backlog!$D$2:$D$300,MATCH("In Review|61",Backlog!$AL$2:$AL$300,0)),"")</f>
        <v/>
      </c>
      <c r="E66" s="16">
        <f>IFERROR(INDEX(Backlog!$A$2:$A$300,MATCH("Blocked|61",Backlog!$AL$2:$AL$300,0))&amp;" · "&amp;INDEX(Backlog!$D$2:$D$300,MATCH("Blocked|61",Backlog!$AL$2:$AL$300,0)),"")</f>
        <v/>
      </c>
      <c r="F66" s="16">
        <f>IFERROR(INDEX(Backlog!$A$2:$A$300,MATCH("Done|61",Backlog!$AL$2:$AL$300,0))&amp;" · "&amp;INDEX(Backlog!$D$2:$D$300,MATCH("Done|61",Backlog!$AL$2:$AL$300,0)),"")</f>
        <v/>
      </c>
    </row>
    <row r="67" ht="30" customHeight="1">
      <c r="B67" s="16">
        <f>IFERROR(INDEX(Backlog!$A$2:$A$300,MATCH("To Do|62",Backlog!$AL$2:$AL$300,0))&amp;" · "&amp;INDEX(Backlog!$D$2:$D$300,MATCH("To Do|62",Backlog!$AL$2:$AL$300,0)),"")</f>
        <v/>
      </c>
      <c r="C67" s="16">
        <f>IFERROR(INDEX(Backlog!$A$2:$A$300,MATCH("In Progress|62",Backlog!$AL$2:$AL$300,0))&amp;" · "&amp;INDEX(Backlog!$D$2:$D$300,MATCH("In Progress|62",Backlog!$AL$2:$AL$300,0)),"")</f>
        <v/>
      </c>
      <c r="D67" s="16">
        <f>IFERROR(INDEX(Backlog!$A$2:$A$300,MATCH("In Review|62",Backlog!$AL$2:$AL$300,0))&amp;" · "&amp;INDEX(Backlog!$D$2:$D$300,MATCH("In Review|62",Backlog!$AL$2:$AL$300,0)),"")</f>
        <v/>
      </c>
      <c r="E67" s="16">
        <f>IFERROR(INDEX(Backlog!$A$2:$A$300,MATCH("Blocked|62",Backlog!$AL$2:$AL$300,0))&amp;" · "&amp;INDEX(Backlog!$D$2:$D$300,MATCH("Blocked|62",Backlog!$AL$2:$AL$300,0)),"")</f>
        <v/>
      </c>
      <c r="F67" s="16">
        <f>IFERROR(INDEX(Backlog!$A$2:$A$300,MATCH("Done|62",Backlog!$AL$2:$AL$300,0))&amp;" · "&amp;INDEX(Backlog!$D$2:$D$300,MATCH("Done|62",Backlog!$AL$2:$AL$300,0)),"")</f>
        <v/>
      </c>
    </row>
    <row r="68" ht="30" customHeight="1">
      <c r="B68" s="16">
        <f>IFERROR(INDEX(Backlog!$A$2:$A$300,MATCH("To Do|63",Backlog!$AL$2:$AL$300,0))&amp;" · "&amp;INDEX(Backlog!$D$2:$D$300,MATCH("To Do|63",Backlog!$AL$2:$AL$300,0)),"")</f>
        <v/>
      </c>
      <c r="C68" s="16">
        <f>IFERROR(INDEX(Backlog!$A$2:$A$300,MATCH("In Progress|63",Backlog!$AL$2:$AL$300,0))&amp;" · "&amp;INDEX(Backlog!$D$2:$D$300,MATCH("In Progress|63",Backlog!$AL$2:$AL$300,0)),"")</f>
        <v/>
      </c>
      <c r="D68" s="16">
        <f>IFERROR(INDEX(Backlog!$A$2:$A$300,MATCH("In Review|63",Backlog!$AL$2:$AL$300,0))&amp;" · "&amp;INDEX(Backlog!$D$2:$D$300,MATCH("In Review|63",Backlog!$AL$2:$AL$300,0)),"")</f>
        <v/>
      </c>
      <c r="E68" s="16">
        <f>IFERROR(INDEX(Backlog!$A$2:$A$300,MATCH("Blocked|63",Backlog!$AL$2:$AL$300,0))&amp;" · "&amp;INDEX(Backlog!$D$2:$D$300,MATCH("Blocked|63",Backlog!$AL$2:$AL$300,0)),"")</f>
        <v/>
      </c>
      <c r="F68" s="16">
        <f>IFERROR(INDEX(Backlog!$A$2:$A$300,MATCH("Done|63",Backlog!$AL$2:$AL$300,0))&amp;" · "&amp;INDEX(Backlog!$D$2:$D$300,MATCH("Done|63",Backlog!$AL$2:$AL$300,0)),"")</f>
        <v/>
      </c>
    </row>
    <row r="69" ht="30" customHeight="1">
      <c r="B69" s="16">
        <f>IFERROR(INDEX(Backlog!$A$2:$A$300,MATCH("To Do|64",Backlog!$AL$2:$AL$300,0))&amp;" · "&amp;INDEX(Backlog!$D$2:$D$300,MATCH("To Do|64",Backlog!$AL$2:$AL$300,0)),"")</f>
        <v/>
      </c>
      <c r="C69" s="16">
        <f>IFERROR(INDEX(Backlog!$A$2:$A$300,MATCH("In Progress|64",Backlog!$AL$2:$AL$300,0))&amp;" · "&amp;INDEX(Backlog!$D$2:$D$300,MATCH("In Progress|64",Backlog!$AL$2:$AL$300,0)),"")</f>
        <v/>
      </c>
      <c r="D69" s="16">
        <f>IFERROR(INDEX(Backlog!$A$2:$A$300,MATCH("In Review|64",Backlog!$AL$2:$AL$300,0))&amp;" · "&amp;INDEX(Backlog!$D$2:$D$300,MATCH("In Review|64",Backlog!$AL$2:$AL$300,0)),"")</f>
        <v/>
      </c>
      <c r="E69" s="16">
        <f>IFERROR(INDEX(Backlog!$A$2:$A$300,MATCH("Blocked|64",Backlog!$AL$2:$AL$300,0))&amp;" · "&amp;INDEX(Backlog!$D$2:$D$300,MATCH("Blocked|64",Backlog!$AL$2:$AL$300,0)),"")</f>
        <v/>
      </c>
      <c r="F69" s="16">
        <f>IFERROR(INDEX(Backlog!$A$2:$A$300,MATCH("Done|64",Backlog!$AL$2:$AL$300,0))&amp;" · "&amp;INDEX(Backlog!$D$2:$D$300,MATCH("Done|64",Backlog!$AL$2:$AL$300,0)),"")</f>
        <v/>
      </c>
    </row>
    <row r="70" ht="30" customHeight="1">
      <c r="B70" s="16">
        <f>IFERROR(INDEX(Backlog!$A$2:$A$300,MATCH("To Do|65",Backlog!$AL$2:$AL$300,0))&amp;" · "&amp;INDEX(Backlog!$D$2:$D$300,MATCH("To Do|65",Backlog!$AL$2:$AL$300,0)),"")</f>
        <v/>
      </c>
      <c r="C70" s="16">
        <f>IFERROR(INDEX(Backlog!$A$2:$A$300,MATCH("In Progress|65",Backlog!$AL$2:$AL$300,0))&amp;" · "&amp;INDEX(Backlog!$D$2:$D$300,MATCH("In Progress|65",Backlog!$AL$2:$AL$300,0)),"")</f>
        <v/>
      </c>
      <c r="D70" s="16">
        <f>IFERROR(INDEX(Backlog!$A$2:$A$300,MATCH("In Review|65",Backlog!$AL$2:$AL$300,0))&amp;" · "&amp;INDEX(Backlog!$D$2:$D$300,MATCH("In Review|65",Backlog!$AL$2:$AL$300,0)),"")</f>
        <v/>
      </c>
      <c r="E70" s="16">
        <f>IFERROR(INDEX(Backlog!$A$2:$A$300,MATCH("Blocked|65",Backlog!$AL$2:$AL$300,0))&amp;" · "&amp;INDEX(Backlog!$D$2:$D$300,MATCH("Blocked|65",Backlog!$AL$2:$AL$300,0)),"")</f>
        <v/>
      </c>
      <c r="F70" s="16">
        <f>IFERROR(INDEX(Backlog!$A$2:$A$300,MATCH("Done|65",Backlog!$AL$2:$AL$300,0))&amp;" · "&amp;INDEX(Backlog!$D$2:$D$300,MATCH("Done|65",Backlog!$AL$2:$AL$300,0)),"")</f>
        <v/>
      </c>
    </row>
    <row r="71" ht="30" customHeight="1">
      <c r="B71" s="16">
        <f>IFERROR(INDEX(Backlog!$A$2:$A$300,MATCH("To Do|66",Backlog!$AL$2:$AL$300,0))&amp;" · "&amp;INDEX(Backlog!$D$2:$D$300,MATCH("To Do|66",Backlog!$AL$2:$AL$300,0)),"")</f>
        <v/>
      </c>
      <c r="C71" s="16">
        <f>IFERROR(INDEX(Backlog!$A$2:$A$300,MATCH("In Progress|66",Backlog!$AL$2:$AL$300,0))&amp;" · "&amp;INDEX(Backlog!$D$2:$D$300,MATCH("In Progress|66",Backlog!$AL$2:$AL$300,0)),"")</f>
        <v/>
      </c>
      <c r="D71" s="16">
        <f>IFERROR(INDEX(Backlog!$A$2:$A$300,MATCH("In Review|66",Backlog!$AL$2:$AL$300,0))&amp;" · "&amp;INDEX(Backlog!$D$2:$D$300,MATCH("In Review|66",Backlog!$AL$2:$AL$300,0)),"")</f>
        <v/>
      </c>
      <c r="E71" s="16">
        <f>IFERROR(INDEX(Backlog!$A$2:$A$300,MATCH("Blocked|66",Backlog!$AL$2:$AL$300,0))&amp;" · "&amp;INDEX(Backlog!$D$2:$D$300,MATCH("Blocked|66",Backlog!$AL$2:$AL$300,0)),"")</f>
        <v/>
      </c>
      <c r="F71" s="16">
        <f>IFERROR(INDEX(Backlog!$A$2:$A$300,MATCH("Done|66",Backlog!$AL$2:$AL$300,0))&amp;" · "&amp;INDEX(Backlog!$D$2:$D$300,MATCH("Done|66",Backlog!$AL$2:$AL$300,0)),"")</f>
        <v/>
      </c>
    </row>
    <row r="72" ht="30" customHeight="1">
      <c r="B72" s="16">
        <f>IFERROR(INDEX(Backlog!$A$2:$A$300,MATCH("To Do|67",Backlog!$AL$2:$AL$300,0))&amp;" · "&amp;INDEX(Backlog!$D$2:$D$300,MATCH("To Do|67",Backlog!$AL$2:$AL$300,0)),"")</f>
        <v/>
      </c>
      <c r="C72" s="16">
        <f>IFERROR(INDEX(Backlog!$A$2:$A$300,MATCH("In Progress|67",Backlog!$AL$2:$AL$300,0))&amp;" · "&amp;INDEX(Backlog!$D$2:$D$300,MATCH("In Progress|67",Backlog!$AL$2:$AL$300,0)),"")</f>
        <v/>
      </c>
      <c r="D72" s="16">
        <f>IFERROR(INDEX(Backlog!$A$2:$A$300,MATCH("In Review|67",Backlog!$AL$2:$AL$300,0))&amp;" · "&amp;INDEX(Backlog!$D$2:$D$300,MATCH("In Review|67",Backlog!$AL$2:$AL$300,0)),"")</f>
        <v/>
      </c>
      <c r="E72" s="16">
        <f>IFERROR(INDEX(Backlog!$A$2:$A$300,MATCH("Blocked|67",Backlog!$AL$2:$AL$300,0))&amp;" · "&amp;INDEX(Backlog!$D$2:$D$300,MATCH("Blocked|67",Backlog!$AL$2:$AL$300,0)),"")</f>
        <v/>
      </c>
      <c r="F72" s="16">
        <f>IFERROR(INDEX(Backlog!$A$2:$A$300,MATCH("Done|67",Backlog!$AL$2:$AL$300,0))&amp;" · "&amp;INDEX(Backlog!$D$2:$D$300,MATCH("Done|67",Backlog!$AL$2:$AL$300,0)),"")</f>
        <v/>
      </c>
    </row>
    <row r="73" ht="30" customHeight="1">
      <c r="B73" s="16">
        <f>IFERROR(INDEX(Backlog!$A$2:$A$300,MATCH("To Do|68",Backlog!$AL$2:$AL$300,0))&amp;" · "&amp;INDEX(Backlog!$D$2:$D$300,MATCH("To Do|68",Backlog!$AL$2:$AL$300,0)),"")</f>
        <v/>
      </c>
      <c r="C73" s="16">
        <f>IFERROR(INDEX(Backlog!$A$2:$A$300,MATCH("In Progress|68",Backlog!$AL$2:$AL$300,0))&amp;" · "&amp;INDEX(Backlog!$D$2:$D$300,MATCH("In Progress|68",Backlog!$AL$2:$AL$300,0)),"")</f>
        <v/>
      </c>
      <c r="D73" s="16">
        <f>IFERROR(INDEX(Backlog!$A$2:$A$300,MATCH("In Review|68",Backlog!$AL$2:$AL$300,0))&amp;" · "&amp;INDEX(Backlog!$D$2:$D$300,MATCH("In Review|68",Backlog!$AL$2:$AL$300,0)),"")</f>
        <v/>
      </c>
      <c r="E73" s="16">
        <f>IFERROR(INDEX(Backlog!$A$2:$A$300,MATCH("Blocked|68",Backlog!$AL$2:$AL$300,0))&amp;" · "&amp;INDEX(Backlog!$D$2:$D$300,MATCH("Blocked|68",Backlog!$AL$2:$AL$300,0)),"")</f>
        <v/>
      </c>
      <c r="F73" s="16">
        <f>IFERROR(INDEX(Backlog!$A$2:$A$300,MATCH("Done|68",Backlog!$AL$2:$AL$300,0))&amp;" · "&amp;INDEX(Backlog!$D$2:$D$300,MATCH("Done|68",Backlog!$AL$2:$AL$300,0)),"")</f>
        <v/>
      </c>
    </row>
    <row r="74" ht="30" customHeight="1">
      <c r="B74" s="16">
        <f>IFERROR(INDEX(Backlog!$A$2:$A$300,MATCH("To Do|69",Backlog!$AL$2:$AL$300,0))&amp;" · "&amp;INDEX(Backlog!$D$2:$D$300,MATCH("To Do|69",Backlog!$AL$2:$AL$300,0)),"")</f>
        <v/>
      </c>
      <c r="C74" s="16">
        <f>IFERROR(INDEX(Backlog!$A$2:$A$300,MATCH("In Progress|69",Backlog!$AL$2:$AL$300,0))&amp;" · "&amp;INDEX(Backlog!$D$2:$D$300,MATCH("In Progress|69",Backlog!$AL$2:$AL$300,0)),"")</f>
        <v/>
      </c>
      <c r="D74" s="16">
        <f>IFERROR(INDEX(Backlog!$A$2:$A$300,MATCH("In Review|69",Backlog!$AL$2:$AL$300,0))&amp;" · "&amp;INDEX(Backlog!$D$2:$D$300,MATCH("In Review|69",Backlog!$AL$2:$AL$300,0)),"")</f>
        <v/>
      </c>
      <c r="E74" s="16">
        <f>IFERROR(INDEX(Backlog!$A$2:$A$300,MATCH("Blocked|69",Backlog!$AL$2:$AL$300,0))&amp;" · "&amp;INDEX(Backlog!$D$2:$D$300,MATCH("Blocked|69",Backlog!$AL$2:$AL$300,0)),"")</f>
        <v/>
      </c>
      <c r="F74" s="16">
        <f>IFERROR(INDEX(Backlog!$A$2:$A$300,MATCH("Done|69",Backlog!$AL$2:$AL$300,0))&amp;" · "&amp;INDEX(Backlog!$D$2:$D$300,MATCH("Done|69",Backlog!$AL$2:$AL$300,0)),"")</f>
        <v/>
      </c>
    </row>
    <row r="75" ht="30" customHeight="1">
      <c r="B75" s="16">
        <f>IFERROR(INDEX(Backlog!$A$2:$A$300,MATCH("To Do|70",Backlog!$AL$2:$AL$300,0))&amp;" · "&amp;INDEX(Backlog!$D$2:$D$300,MATCH("To Do|70",Backlog!$AL$2:$AL$300,0)),"")</f>
        <v/>
      </c>
      <c r="C75" s="16">
        <f>IFERROR(INDEX(Backlog!$A$2:$A$300,MATCH("In Progress|70",Backlog!$AL$2:$AL$300,0))&amp;" · "&amp;INDEX(Backlog!$D$2:$D$300,MATCH("In Progress|70",Backlog!$AL$2:$AL$300,0)),"")</f>
        <v/>
      </c>
      <c r="D75" s="16">
        <f>IFERROR(INDEX(Backlog!$A$2:$A$300,MATCH("In Review|70",Backlog!$AL$2:$AL$300,0))&amp;" · "&amp;INDEX(Backlog!$D$2:$D$300,MATCH("In Review|70",Backlog!$AL$2:$AL$300,0)),"")</f>
        <v/>
      </c>
      <c r="E75" s="16">
        <f>IFERROR(INDEX(Backlog!$A$2:$A$300,MATCH("Blocked|70",Backlog!$AL$2:$AL$300,0))&amp;" · "&amp;INDEX(Backlog!$D$2:$D$300,MATCH("Blocked|70",Backlog!$AL$2:$AL$300,0)),"")</f>
        <v/>
      </c>
      <c r="F75" s="16">
        <f>IFERROR(INDEX(Backlog!$A$2:$A$300,MATCH("Done|70",Backlog!$AL$2:$AL$300,0))&amp;" · "&amp;INDEX(Backlog!$D$2:$D$300,MATCH("Done|70",Backlog!$AL$2:$AL$300,0)),"")</f>
        <v/>
      </c>
    </row>
    <row r="76" ht="30" customHeight="1">
      <c r="B76" s="16">
        <f>IFERROR(INDEX(Backlog!$A$2:$A$300,MATCH("To Do|71",Backlog!$AL$2:$AL$300,0))&amp;" · "&amp;INDEX(Backlog!$D$2:$D$300,MATCH("To Do|71",Backlog!$AL$2:$AL$300,0)),"")</f>
        <v/>
      </c>
      <c r="C76" s="16">
        <f>IFERROR(INDEX(Backlog!$A$2:$A$300,MATCH("In Progress|71",Backlog!$AL$2:$AL$300,0))&amp;" · "&amp;INDEX(Backlog!$D$2:$D$300,MATCH("In Progress|71",Backlog!$AL$2:$AL$300,0)),"")</f>
        <v/>
      </c>
      <c r="D76" s="16">
        <f>IFERROR(INDEX(Backlog!$A$2:$A$300,MATCH("In Review|71",Backlog!$AL$2:$AL$300,0))&amp;" · "&amp;INDEX(Backlog!$D$2:$D$300,MATCH("In Review|71",Backlog!$AL$2:$AL$300,0)),"")</f>
        <v/>
      </c>
      <c r="E76" s="16">
        <f>IFERROR(INDEX(Backlog!$A$2:$A$300,MATCH("Blocked|71",Backlog!$AL$2:$AL$300,0))&amp;" · "&amp;INDEX(Backlog!$D$2:$D$300,MATCH("Blocked|71",Backlog!$AL$2:$AL$300,0)),"")</f>
        <v/>
      </c>
      <c r="F76" s="16">
        <f>IFERROR(INDEX(Backlog!$A$2:$A$300,MATCH("Done|71",Backlog!$AL$2:$AL$300,0))&amp;" · "&amp;INDEX(Backlog!$D$2:$D$300,MATCH("Done|71",Backlog!$AL$2:$AL$300,0)),"")</f>
        <v/>
      </c>
    </row>
    <row r="77" ht="30" customHeight="1">
      <c r="B77" s="16">
        <f>IFERROR(INDEX(Backlog!$A$2:$A$300,MATCH("To Do|72",Backlog!$AL$2:$AL$300,0))&amp;" · "&amp;INDEX(Backlog!$D$2:$D$300,MATCH("To Do|72",Backlog!$AL$2:$AL$300,0)),"")</f>
        <v/>
      </c>
      <c r="C77" s="16">
        <f>IFERROR(INDEX(Backlog!$A$2:$A$300,MATCH("In Progress|72",Backlog!$AL$2:$AL$300,0))&amp;" · "&amp;INDEX(Backlog!$D$2:$D$300,MATCH("In Progress|72",Backlog!$AL$2:$AL$300,0)),"")</f>
        <v/>
      </c>
      <c r="D77" s="16">
        <f>IFERROR(INDEX(Backlog!$A$2:$A$300,MATCH("In Review|72",Backlog!$AL$2:$AL$300,0))&amp;" · "&amp;INDEX(Backlog!$D$2:$D$300,MATCH("In Review|72",Backlog!$AL$2:$AL$300,0)),"")</f>
        <v/>
      </c>
      <c r="E77" s="16">
        <f>IFERROR(INDEX(Backlog!$A$2:$A$300,MATCH("Blocked|72",Backlog!$AL$2:$AL$300,0))&amp;" · "&amp;INDEX(Backlog!$D$2:$D$300,MATCH("Blocked|72",Backlog!$AL$2:$AL$300,0)),"")</f>
        <v/>
      </c>
      <c r="F77" s="16">
        <f>IFERROR(INDEX(Backlog!$A$2:$A$300,MATCH("Done|72",Backlog!$AL$2:$AL$300,0))&amp;" · "&amp;INDEX(Backlog!$D$2:$D$300,MATCH("Done|72",Backlog!$AL$2:$AL$300,0)),"")</f>
        <v/>
      </c>
    </row>
    <row r="78" ht="30" customHeight="1">
      <c r="B78" s="16">
        <f>IFERROR(INDEX(Backlog!$A$2:$A$300,MATCH("To Do|73",Backlog!$AL$2:$AL$300,0))&amp;" · "&amp;INDEX(Backlog!$D$2:$D$300,MATCH("To Do|73",Backlog!$AL$2:$AL$300,0)),"")</f>
        <v/>
      </c>
      <c r="C78" s="16">
        <f>IFERROR(INDEX(Backlog!$A$2:$A$300,MATCH("In Progress|73",Backlog!$AL$2:$AL$300,0))&amp;" · "&amp;INDEX(Backlog!$D$2:$D$300,MATCH("In Progress|73",Backlog!$AL$2:$AL$300,0)),"")</f>
        <v/>
      </c>
      <c r="D78" s="16">
        <f>IFERROR(INDEX(Backlog!$A$2:$A$300,MATCH("In Review|73",Backlog!$AL$2:$AL$300,0))&amp;" · "&amp;INDEX(Backlog!$D$2:$D$300,MATCH("In Review|73",Backlog!$AL$2:$AL$300,0)),"")</f>
        <v/>
      </c>
      <c r="E78" s="16">
        <f>IFERROR(INDEX(Backlog!$A$2:$A$300,MATCH("Blocked|73",Backlog!$AL$2:$AL$300,0))&amp;" · "&amp;INDEX(Backlog!$D$2:$D$300,MATCH("Blocked|73",Backlog!$AL$2:$AL$300,0)),"")</f>
        <v/>
      </c>
      <c r="F78" s="16">
        <f>IFERROR(INDEX(Backlog!$A$2:$A$300,MATCH("Done|73",Backlog!$AL$2:$AL$300,0))&amp;" · "&amp;INDEX(Backlog!$D$2:$D$300,MATCH("Done|73",Backlog!$AL$2:$AL$300,0)),"")</f>
        <v/>
      </c>
    </row>
    <row r="79" ht="30" customHeight="1">
      <c r="B79" s="16">
        <f>IFERROR(INDEX(Backlog!$A$2:$A$300,MATCH("To Do|74",Backlog!$AL$2:$AL$300,0))&amp;" · "&amp;INDEX(Backlog!$D$2:$D$300,MATCH("To Do|74",Backlog!$AL$2:$AL$300,0)),"")</f>
        <v/>
      </c>
      <c r="C79" s="16">
        <f>IFERROR(INDEX(Backlog!$A$2:$A$300,MATCH("In Progress|74",Backlog!$AL$2:$AL$300,0))&amp;" · "&amp;INDEX(Backlog!$D$2:$D$300,MATCH("In Progress|74",Backlog!$AL$2:$AL$300,0)),"")</f>
        <v/>
      </c>
      <c r="D79" s="16">
        <f>IFERROR(INDEX(Backlog!$A$2:$A$300,MATCH("In Review|74",Backlog!$AL$2:$AL$300,0))&amp;" · "&amp;INDEX(Backlog!$D$2:$D$300,MATCH("In Review|74",Backlog!$AL$2:$AL$300,0)),"")</f>
        <v/>
      </c>
      <c r="E79" s="16">
        <f>IFERROR(INDEX(Backlog!$A$2:$A$300,MATCH("Blocked|74",Backlog!$AL$2:$AL$300,0))&amp;" · "&amp;INDEX(Backlog!$D$2:$D$300,MATCH("Blocked|74",Backlog!$AL$2:$AL$300,0)),"")</f>
        <v/>
      </c>
      <c r="F79" s="16">
        <f>IFERROR(INDEX(Backlog!$A$2:$A$300,MATCH("Done|74",Backlog!$AL$2:$AL$300,0))&amp;" · "&amp;INDEX(Backlog!$D$2:$D$300,MATCH("Done|74",Backlog!$AL$2:$AL$300,0)),"")</f>
        <v/>
      </c>
    </row>
    <row r="80" ht="30" customHeight="1">
      <c r="B80" s="16">
        <f>IFERROR(INDEX(Backlog!$A$2:$A$300,MATCH("To Do|75",Backlog!$AL$2:$AL$300,0))&amp;" · "&amp;INDEX(Backlog!$D$2:$D$300,MATCH("To Do|75",Backlog!$AL$2:$AL$300,0)),"")</f>
        <v/>
      </c>
      <c r="C80" s="16">
        <f>IFERROR(INDEX(Backlog!$A$2:$A$300,MATCH("In Progress|75",Backlog!$AL$2:$AL$300,0))&amp;" · "&amp;INDEX(Backlog!$D$2:$D$300,MATCH("In Progress|75",Backlog!$AL$2:$AL$300,0)),"")</f>
        <v/>
      </c>
      <c r="D80" s="16">
        <f>IFERROR(INDEX(Backlog!$A$2:$A$300,MATCH("In Review|75",Backlog!$AL$2:$AL$300,0))&amp;" · "&amp;INDEX(Backlog!$D$2:$D$300,MATCH("In Review|75",Backlog!$AL$2:$AL$300,0)),"")</f>
        <v/>
      </c>
      <c r="E80" s="16">
        <f>IFERROR(INDEX(Backlog!$A$2:$A$300,MATCH("Blocked|75",Backlog!$AL$2:$AL$300,0))&amp;" · "&amp;INDEX(Backlog!$D$2:$D$300,MATCH("Blocked|75",Backlog!$AL$2:$AL$300,0)),"")</f>
        <v/>
      </c>
      <c r="F80" s="16">
        <f>IFERROR(INDEX(Backlog!$A$2:$A$300,MATCH("Done|75",Backlog!$AL$2:$AL$300,0))&amp;" · "&amp;INDEX(Backlog!$D$2:$D$300,MATCH("Done|75",Backlog!$AL$2:$AL$300,0)),"")</f>
        <v/>
      </c>
    </row>
    <row r="81" ht="30" customHeight="1">
      <c r="B81" s="16">
        <f>IFERROR(INDEX(Backlog!$A$2:$A$300,MATCH("To Do|76",Backlog!$AL$2:$AL$300,0))&amp;" · "&amp;INDEX(Backlog!$D$2:$D$300,MATCH("To Do|76",Backlog!$AL$2:$AL$300,0)),"")</f>
        <v/>
      </c>
      <c r="C81" s="16">
        <f>IFERROR(INDEX(Backlog!$A$2:$A$300,MATCH("In Progress|76",Backlog!$AL$2:$AL$300,0))&amp;" · "&amp;INDEX(Backlog!$D$2:$D$300,MATCH("In Progress|76",Backlog!$AL$2:$AL$300,0)),"")</f>
        <v/>
      </c>
      <c r="D81" s="16">
        <f>IFERROR(INDEX(Backlog!$A$2:$A$300,MATCH("In Review|76",Backlog!$AL$2:$AL$300,0))&amp;" · "&amp;INDEX(Backlog!$D$2:$D$300,MATCH("In Review|76",Backlog!$AL$2:$AL$300,0)),"")</f>
        <v/>
      </c>
      <c r="E81" s="16">
        <f>IFERROR(INDEX(Backlog!$A$2:$A$300,MATCH("Blocked|76",Backlog!$AL$2:$AL$300,0))&amp;" · "&amp;INDEX(Backlog!$D$2:$D$300,MATCH("Blocked|76",Backlog!$AL$2:$AL$300,0)),"")</f>
        <v/>
      </c>
      <c r="F81" s="16">
        <f>IFERROR(INDEX(Backlog!$A$2:$A$300,MATCH("Done|76",Backlog!$AL$2:$AL$300,0))&amp;" · "&amp;INDEX(Backlog!$D$2:$D$300,MATCH("Done|76",Backlog!$AL$2:$AL$300,0)),"")</f>
        <v/>
      </c>
    </row>
    <row r="82" ht="30" customHeight="1">
      <c r="B82" s="16">
        <f>IFERROR(INDEX(Backlog!$A$2:$A$300,MATCH("To Do|77",Backlog!$AL$2:$AL$300,0))&amp;" · "&amp;INDEX(Backlog!$D$2:$D$300,MATCH("To Do|77",Backlog!$AL$2:$AL$300,0)),"")</f>
        <v/>
      </c>
      <c r="C82" s="16">
        <f>IFERROR(INDEX(Backlog!$A$2:$A$300,MATCH("In Progress|77",Backlog!$AL$2:$AL$300,0))&amp;" · "&amp;INDEX(Backlog!$D$2:$D$300,MATCH("In Progress|77",Backlog!$AL$2:$AL$300,0)),"")</f>
        <v/>
      </c>
      <c r="D82" s="16">
        <f>IFERROR(INDEX(Backlog!$A$2:$A$300,MATCH("In Review|77",Backlog!$AL$2:$AL$300,0))&amp;" · "&amp;INDEX(Backlog!$D$2:$D$300,MATCH("In Review|77",Backlog!$AL$2:$AL$300,0)),"")</f>
        <v/>
      </c>
      <c r="E82" s="16">
        <f>IFERROR(INDEX(Backlog!$A$2:$A$300,MATCH("Blocked|77",Backlog!$AL$2:$AL$300,0))&amp;" · "&amp;INDEX(Backlog!$D$2:$D$300,MATCH("Blocked|77",Backlog!$AL$2:$AL$300,0)),"")</f>
        <v/>
      </c>
      <c r="F82" s="16">
        <f>IFERROR(INDEX(Backlog!$A$2:$A$300,MATCH("Done|77",Backlog!$AL$2:$AL$300,0))&amp;" · "&amp;INDEX(Backlog!$D$2:$D$300,MATCH("Done|77",Backlog!$AL$2:$AL$300,0)),"")</f>
        <v/>
      </c>
    </row>
    <row r="83" ht="30" customHeight="1">
      <c r="B83" s="16">
        <f>IFERROR(INDEX(Backlog!$A$2:$A$300,MATCH("To Do|78",Backlog!$AL$2:$AL$300,0))&amp;" · "&amp;INDEX(Backlog!$D$2:$D$300,MATCH("To Do|78",Backlog!$AL$2:$AL$300,0)),"")</f>
        <v/>
      </c>
      <c r="C83" s="16">
        <f>IFERROR(INDEX(Backlog!$A$2:$A$300,MATCH("In Progress|78",Backlog!$AL$2:$AL$300,0))&amp;" · "&amp;INDEX(Backlog!$D$2:$D$300,MATCH("In Progress|78",Backlog!$AL$2:$AL$300,0)),"")</f>
        <v/>
      </c>
      <c r="D83" s="16">
        <f>IFERROR(INDEX(Backlog!$A$2:$A$300,MATCH("In Review|78",Backlog!$AL$2:$AL$300,0))&amp;" · "&amp;INDEX(Backlog!$D$2:$D$300,MATCH("In Review|78",Backlog!$AL$2:$AL$300,0)),"")</f>
        <v/>
      </c>
      <c r="E83" s="16">
        <f>IFERROR(INDEX(Backlog!$A$2:$A$300,MATCH("Blocked|78",Backlog!$AL$2:$AL$300,0))&amp;" · "&amp;INDEX(Backlog!$D$2:$D$300,MATCH("Blocked|78",Backlog!$AL$2:$AL$300,0)),"")</f>
        <v/>
      </c>
      <c r="F83" s="16">
        <f>IFERROR(INDEX(Backlog!$A$2:$A$300,MATCH("Done|78",Backlog!$AL$2:$AL$300,0))&amp;" · "&amp;INDEX(Backlog!$D$2:$D$300,MATCH("Done|78",Backlog!$AL$2:$AL$300,0)),"")</f>
        <v/>
      </c>
    </row>
    <row r="84" ht="30" customHeight="1">
      <c r="B84" s="16">
        <f>IFERROR(INDEX(Backlog!$A$2:$A$300,MATCH("To Do|79",Backlog!$AL$2:$AL$300,0))&amp;" · "&amp;INDEX(Backlog!$D$2:$D$300,MATCH("To Do|79",Backlog!$AL$2:$AL$300,0)),"")</f>
        <v/>
      </c>
      <c r="C84" s="16">
        <f>IFERROR(INDEX(Backlog!$A$2:$A$300,MATCH("In Progress|79",Backlog!$AL$2:$AL$300,0))&amp;" · "&amp;INDEX(Backlog!$D$2:$D$300,MATCH("In Progress|79",Backlog!$AL$2:$AL$300,0)),"")</f>
        <v/>
      </c>
      <c r="D84" s="16">
        <f>IFERROR(INDEX(Backlog!$A$2:$A$300,MATCH("In Review|79",Backlog!$AL$2:$AL$300,0))&amp;" · "&amp;INDEX(Backlog!$D$2:$D$300,MATCH("In Review|79",Backlog!$AL$2:$AL$300,0)),"")</f>
        <v/>
      </c>
      <c r="E84" s="16">
        <f>IFERROR(INDEX(Backlog!$A$2:$A$300,MATCH("Blocked|79",Backlog!$AL$2:$AL$300,0))&amp;" · "&amp;INDEX(Backlog!$D$2:$D$300,MATCH("Blocked|79",Backlog!$AL$2:$AL$300,0)),"")</f>
        <v/>
      </c>
      <c r="F84" s="16">
        <f>IFERROR(INDEX(Backlog!$A$2:$A$300,MATCH("Done|79",Backlog!$AL$2:$AL$300,0))&amp;" · "&amp;INDEX(Backlog!$D$2:$D$300,MATCH("Done|79",Backlog!$AL$2:$AL$300,0)),"")</f>
        <v/>
      </c>
    </row>
    <row r="85" ht="30" customHeight="1">
      <c r="B85" s="16">
        <f>IFERROR(INDEX(Backlog!$A$2:$A$300,MATCH("To Do|80",Backlog!$AL$2:$AL$300,0))&amp;" · "&amp;INDEX(Backlog!$D$2:$D$300,MATCH("To Do|80",Backlog!$AL$2:$AL$300,0)),"")</f>
        <v/>
      </c>
      <c r="C85" s="16">
        <f>IFERROR(INDEX(Backlog!$A$2:$A$300,MATCH("In Progress|80",Backlog!$AL$2:$AL$300,0))&amp;" · "&amp;INDEX(Backlog!$D$2:$D$300,MATCH("In Progress|80",Backlog!$AL$2:$AL$300,0)),"")</f>
        <v/>
      </c>
      <c r="D85" s="16">
        <f>IFERROR(INDEX(Backlog!$A$2:$A$300,MATCH("In Review|80",Backlog!$AL$2:$AL$300,0))&amp;" · "&amp;INDEX(Backlog!$D$2:$D$300,MATCH("In Review|80",Backlog!$AL$2:$AL$300,0)),"")</f>
        <v/>
      </c>
      <c r="E85" s="16">
        <f>IFERROR(INDEX(Backlog!$A$2:$A$300,MATCH("Blocked|80",Backlog!$AL$2:$AL$300,0))&amp;" · "&amp;INDEX(Backlog!$D$2:$D$300,MATCH("Blocked|80",Backlog!$AL$2:$AL$300,0)),"")</f>
        <v/>
      </c>
      <c r="F85" s="16">
        <f>IFERROR(INDEX(Backlog!$A$2:$A$300,MATCH("Done|80",Backlog!$AL$2:$AL$300,0))&amp;" · "&amp;INDEX(Backlog!$D$2:$D$300,MATCH("Done|80",Backlog!$AL$2:$AL$300,0)),"")</f>
        <v/>
      </c>
    </row>
    <row r="86" ht="30" customHeight="1">
      <c r="B86" s="16">
        <f>IFERROR(INDEX(Backlog!$A$2:$A$300,MATCH("To Do|81",Backlog!$AL$2:$AL$300,0))&amp;" · "&amp;INDEX(Backlog!$D$2:$D$300,MATCH("To Do|81",Backlog!$AL$2:$AL$300,0)),"")</f>
        <v/>
      </c>
      <c r="C86" s="16">
        <f>IFERROR(INDEX(Backlog!$A$2:$A$300,MATCH("In Progress|81",Backlog!$AL$2:$AL$300,0))&amp;" · "&amp;INDEX(Backlog!$D$2:$D$300,MATCH("In Progress|81",Backlog!$AL$2:$AL$300,0)),"")</f>
        <v/>
      </c>
      <c r="D86" s="16">
        <f>IFERROR(INDEX(Backlog!$A$2:$A$300,MATCH("In Review|81",Backlog!$AL$2:$AL$300,0))&amp;" · "&amp;INDEX(Backlog!$D$2:$D$300,MATCH("In Review|81",Backlog!$AL$2:$AL$300,0)),"")</f>
        <v/>
      </c>
      <c r="E86" s="16">
        <f>IFERROR(INDEX(Backlog!$A$2:$A$300,MATCH("Blocked|81",Backlog!$AL$2:$AL$300,0))&amp;" · "&amp;INDEX(Backlog!$D$2:$D$300,MATCH("Blocked|81",Backlog!$AL$2:$AL$300,0)),"")</f>
        <v/>
      </c>
      <c r="F86" s="16">
        <f>IFERROR(INDEX(Backlog!$A$2:$A$300,MATCH("Done|81",Backlog!$AL$2:$AL$300,0))&amp;" · "&amp;INDEX(Backlog!$D$2:$D$300,MATCH("Done|81",Backlog!$AL$2:$AL$300,0)),"")</f>
        <v/>
      </c>
    </row>
    <row r="87" ht="30" customHeight="1">
      <c r="B87" s="16">
        <f>IFERROR(INDEX(Backlog!$A$2:$A$300,MATCH("To Do|82",Backlog!$AL$2:$AL$300,0))&amp;" · "&amp;INDEX(Backlog!$D$2:$D$300,MATCH("To Do|82",Backlog!$AL$2:$AL$300,0)),"")</f>
        <v/>
      </c>
      <c r="C87" s="16">
        <f>IFERROR(INDEX(Backlog!$A$2:$A$300,MATCH("In Progress|82",Backlog!$AL$2:$AL$300,0))&amp;" · "&amp;INDEX(Backlog!$D$2:$D$300,MATCH("In Progress|82",Backlog!$AL$2:$AL$300,0)),"")</f>
        <v/>
      </c>
      <c r="D87" s="16">
        <f>IFERROR(INDEX(Backlog!$A$2:$A$300,MATCH("In Review|82",Backlog!$AL$2:$AL$300,0))&amp;" · "&amp;INDEX(Backlog!$D$2:$D$300,MATCH("In Review|82",Backlog!$AL$2:$AL$300,0)),"")</f>
        <v/>
      </c>
      <c r="E87" s="16">
        <f>IFERROR(INDEX(Backlog!$A$2:$A$300,MATCH("Blocked|82",Backlog!$AL$2:$AL$300,0))&amp;" · "&amp;INDEX(Backlog!$D$2:$D$300,MATCH("Blocked|82",Backlog!$AL$2:$AL$300,0)),"")</f>
        <v/>
      </c>
      <c r="F87" s="16">
        <f>IFERROR(INDEX(Backlog!$A$2:$A$300,MATCH("Done|82",Backlog!$AL$2:$AL$300,0))&amp;" · "&amp;INDEX(Backlog!$D$2:$D$300,MATCH("Done|82",Backlog!$AL$2:$AL$300,0)),"")</f>
        <v/>
      </c>
    </row>
  </sheetData>
  <conditionalFormatting sqref="B6:B87">
    <cfRule type="expression" priority="1" dxfId="0">
      <formula>LEN(B6)&gt;0</formula>
    </cfRule>
  </conditionalFormatting>
  <conditionalFormatting sqref="C6:C87">
    <cfRule type="expression" priority="2" dxfId="1">
      <formula>LEN(C6)&gt;0</formula>
    </cfRule>
  </conditionalFormatting>
  <conditionalFormatting sqref="D6:D87">
    <cfRule type="expression" priority="3" dxfId="2">
      <formula>LEN(D6)&gt;0</formula>
    </cfRule>
  </conditionalFormatting>
  <conditionalFormatting sqref="E6:E87">
    <cfRule type="expression" priority="4" dxfId="3">
      <formula>LEN(E6)&gt;0</formula>
    </cfRule>
  </conditionalFormatting>
  <conditionalFormatting sqref="F6:F87">
    <cfRule type="expression" priority="5" dxfId="4">
      <formula>LEN(F6)&gt;0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87A54"/>
    <outlinePr summaryBelow="1" summaryRight="1"/>
    <pageSetUpPr/>
  </sheetPr>
  <dimension ref="A1:K52"/>
  <sheetViews>
    <sheetView showGridLines="0" zoomScale="10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4" customWidth="1" min="4" max="4"/>
    <col width="30" customWidth="1" min="5" max="5"/>
    <col width="12" customWidth="1" min="6" max="6"/>
    <col width="12" customWidth="1" min="7" max="7"/>
    <col width="4" customWidth="1" min="8" max="8"/>
    <col width="30" customWidth="1" min="9" max="9"/>
    <col width="12" customWidth="1" min="10" max="10"/>
    <col width="12" customWidth="1" min="11" max="11"/>
  </cols>
  <sheetData>
    <row r="1">
      <c r="A1" s="1" t="inlineStr">
        <is>
          <t>Dashboard</t>
        </is>
      </c>
    </row>
    <row r="2">
      <c r="A2" s="2" t="inlineStr">
        <is>
          <t>All figures are formulas over Backlog, Screens, Test Cases and Translations.</t>
        </is>
      </c>
    </row>
    <row r="4">
      <c r="A4" s="6" t="inlineStr">
        <is>
          <t>Key figures</t>
        </is>
      </c>
    </row>
    <row r="5">
      <c r="A5" s="17" t="inlineStr">
        <is>
          <t>Total tickets</t>
        </is>
      </c>
      <c r="B5" s="18">
        <f>COUNTA(Backlog!$A$2:$A$300)</f>
        <v/>
      </c>
    </row>
    <row r="6">
      <c r="A6" s="17" t="inlineStr">
        <is>
          <t>Total story points</t>
        </is>
      </c>
      <c r="B6" s="18">
        <f>SUM(Backlog!$U$2:$U$300)</f>
        <v/>
      </c>
    </row>
    <row r="7">
      <c r="A7" s="17" t="inlineStr">
        <is>
          <t>Blocked tickets</t>
        </is>
      </c>
      <c r="B7" s="18">
        <f>COUNTIF(Backlog!$AD$2:$AD$300,"Blocked")</f>
        <v/>
      </c>
    </row>
    <row r="8">
      <c r="A8" s="17" t="inlineStr">
        <is>
          <t>Awaiting human review (In Review)</t>
        </is>
      </c>
      <c r="B8" s="18">
        <f>COUNTIF(Backlog!$AD$2:$AD$300,"In Review")</f>
        <v/>
      </c>
    </row>
    <row r="9">
      <c r="A9" s="17" t="inlineStr">
        <is>
          <t>Awaiting merge (Git-PR-CI)</t>
        </is>
      </c>
      <c r="B9" s="18">
        <f>COUNTIF('Git-PR-CI'!$M$2:$M$300,"Pending")</f>
        <v/>
      </c>
    </row>
    <row r="10">
      <c r="A10" s="17" t="inlineStr">
        <is>
          <t>Failed checks (Git-PR-CI)</t>
        </is>
      </c>
      <c r="B10" s="18">
        <f>COUNTIF('Git-PR-CI'!$E$2:$L$300,"Fail")</f>
        <v/>
      </c>
    </row>
    <row r="11">
      <c r="A11" s="17" t="inlineStr">
        <is>
          <t>Open dependencies (not Done, has deps)</t>
        </is>
      </c>
      <c r="B11" s="18">
        <f>COUNTIFS(Backlog!$A$2:$A$300,"&lt;&gt;",Backlog!$AD$2:$AD$300,"&lt;&gt;Done",Backlog!$N$2:$N$300,"&lt;&gt;None")</f>
        <v/>
      </c>
    </row>
    <row r="12">
      <c r="A12" s="17" t="inlineStr">
        <is>
          <t>Screens with design missing</t>
        </is>
      </c>
      <c r="B12" s="18">
        <f>COUNTIF(Screens!$P$2:$P$100,"Design Missing")</f>
        <v/>
      </c>
    </row>
    <row r="13">
      <c r="A13" s="17" t="inlineStr">
        <is>
          <t>Screens not yet verified</t>
        </is>
      </c>
      <c r="B13" s="18">
        <f>COUNTA(Screens!$B$2:$B$100)-COUNTIF(Screens!$Q$2:$Q$100,"Verified")</f>
        <v/>
      </c>
    </row>
    <row r="14">
      <c r="A14" s="17" t="inlineStr">
        <is>
          <t>Test cases not passing</t>
        </is>
      </c>
      <c r="B14" s="18">
        <f>COUNTA('Test Cases'!$A$2:$A$300)-COUNTIF('Test Cases'!$N$2:$N$300,"Pass")</f>
        <v/>
      </c>
    </row>
    <row r="15">
      <c r="A15" s="17" t="inlineStr">
        <is>
          <t>Kannada strings missing</t>
        </is>
      </c>
      <c r="B15" s="18">
        <f>COUNTIF(Translations!$G$2:$G$500,"Missing")</f>
        <v/>
      </c>
    </row>
    <row r="16">
      <c r="A16" s="17" t="inlineStr">
        <is>
          <t>Kannada strings awaiting native review</t>
        </is>
      </c>
      <c r="B16" s="18">
        <f>COUNTIF(Translations!$G$2:$G$500,"Needs native review")+COUNTIF(Translations!$G$2:$G$500,"Draft")</f>
        <v/>
      </c>
    </row>
    <row r="18">
      <c r="A18" s="19" t="inlineStr">
        <is>
          <t>By status</t>
        </is>
      </c>
      <c r="B18" s="19" t="inlineStr">
        <is>
          <t>Tickets</t>
        </is>
      </c>
      <c r="C18" s="19" t="inlineStr">
        <is>
          <t>Points</t>
        </is>
      </c>
      <c r="E18" s="19" t="inlineStr">
        <is>
          <t>By priority</t>
        </is>
      </c>
      <c r="F18" s="19" t="inlineStr">
        <is>
          <t>Tickets</t>
        </is>
      </c>
      <c r="G18" s="19" t="inlineStr">
        <is>
          <t>Points</t>
        </is>
      </c>
      <c r="I18" s="19" t="inlineStr">
        <is>
          <t>By MoSCoW</t>
        </is>
      </c>
      <c r="J18" s="19" t="inlineStr">
        <is>
          <t>Tickets</t>
        </is>
      </c>
      <c r="K18" s="19" t="inlineStr">
        <is>
          <t>Points</t>
        </is>
      </c>
    </row>
    <row r="19">
      <c r="A19" s="4" t="inlineStr">
        <is>
          <t>To Do</t>
        </is>
      </c>
      <c r="B19" s="4">
        <f>COUNTIF(Backlog!$AD$2:$AD$300,"To Do")</f>
        <v/>
      </c>
      <c r="C19" s="4">
        <f>SUMIF(Backlog!$AD$2:$AD$300,"To Do",Backlog!$U$2:$U$300)</f>
        <v/>
      </c>
      <c r="E19" s="4" t="inlineStr">
        <is>
          <t>Highest</t>
        </is>
      </c>
      <c r="F19" s="4">
        <f>COUNTIF(Backlog!$H$2:$H$300,"Highest")</f>
        <v/>
      </c>
      <c r="G19" s="4">
        <f>SUMIF(Backlog!$H$2:$H$300,"Highest",Backlog!$U$2:$U$300)</f>
        <v/>
      </c>
      <c r="I19" s="4" t="inlineStr">
        <is>
          <t>Must</t>
        </is>
      </c>
      <c r="J19" s="4">
        <f>COUNTIF(Backlog!$I$2:$I$300,"Must")</f>
        <v/>
      </c>
      <c r="K19" s="4">
        <f>SUMIF(Backlog!$I$2:$I$300,"Must",Backlog!$U$2:$U$300)</f>
        <v/>
      </c>
    </row>
    <row r="20">
      <c r="A20" s="4" t="inlineStr">
        <is>
          <t>In Progress</t>
        </is>
      </c>
      <c r="B20" s="4">
        <f>COUNTIF(Backlog!$AD$2:$AD$300,"In Progress")</f>
        <v/>
      </c>
      <c r="C20" s="4">
        <f>SUMIF(Backlog!$AD$2:$AD$300,"In Progress",Backlog!$U$2:$U$300)</f>
        <v/>
      </c>
      <c r="E20" s="4" t="inlineStr">
        <is>
          <t>High</t>
        </is>
      </c>
      <c r="F20" s="4">
        <f>COUNTIF(Backlog!$H$2:$H$300,"High")</f>
        <v/>
      </c>
      <c r="G20" s="4">
        <f>SUMIF(Backlog!$H$2:$H$300,"High",Backlog!$U$2:$U$300)</f>
        <v/>
      </c>
      <c r="I20" s="4" t="inlineStr">
        <is>
          <t>Should</t>
        </is>
      </c>
      <c r="J20" s="4">
        <f>COUNTIF(Backlog!$I$2:$I$300,"Should")</f>
        <v/>
      </c>
      <c r="K20" s="4">
        <f>SUMIF(Backlog!$I$2:$I$300,"Should",Backlog!$U$2:$U$300)</f>
        <v/>
      </c>
    </row>
    <row r="21">
      <c r="A21" s="4" t="inlineStr">
        <is>
          <t>In Review</t>
        </is>
      </c>
      <c r="B21" s="4">
        <f>COUNTIF(Backlog!$AD$2:$AD$300,"In Review")</f>
        <v/>
      </c>
      <c r="C21" s="4">
        <f>SUMIF(Backlog!$AD$2:$AD$300,"In Review",Backlog!$U$2:$U$300)</f>
        <v/>
      </c>
      <c r="E21" s="4" t="inlineStr">
        <is>
          <t>Medium</t>
        </is>
      </c>
      <c r="F21" s="4">
        <f>COUNTIF(Backlog!$H$2:$H$300,"Medium")</f>
        <v/>
      </c>
      <c r="G21" s="4">
        <f>SUMIF(Backlog!$H$2:$H$300,"Medium",Backlog!$U$2:$U$300)</f>
        <v/>
      </c>
      <c r="I21" s="4" t="inlineStr">
        <is>
          <t>Could</t>
        </is>
      </c>
      <c r="J21" s="4">
        <f>COUNTIF(Backlog!$I$2:$I$300,"Could")</f>
        <v/>
      </c>
      <c r="K21" s="4">
        <f>SUMIF(Backlog!$I$2:$I$300,"Could",Backlog!$U$2:$U$300)</f>
        <v/>
      </c>
    </row>
    <row r="22">
      <c r="A22" s="4" t="inlineStr">
        <is>
          <t>Blocked</t>
        </is>
      </c>
      <c r="B22" s="4">
        <f>COUNTIF(Backlog!$AD$2:$AD$300,"Blocked")</f>
        <v/>
      </c>
      <c r="C22" s="4">
        <f>SUMIF(Backlog!$AD$2:$AD$300,"Blocked",Backlog!$U$2:$U$300)</f>
        <v/>
      </c>
      <c r="E22" s="4" t="inlineStr">
        <is>
          <t>Low</t>
        </is>
      </c>
      <c r="F22" s="4">
        <f>COUNTIF(Backlog!$H$2:$H$300,"Low")</f>
        <v/>
      </c>
      <c r="G22" s="4">
        <f>SUMIF(Backlog!$H$2:$H$300,"Low",Backlog!$U$2:$U$300)</f>
        <v/>
      </c>
      <c r="I22" s="4" t="inlineStr">
        <is>
          <t>Won't</t>
        </is>
      </c>
      <c r="J22" s="4">
        <f>COUNTIF(Backlog!$I$2:$I$300,"Won't")</f>
        <v/>
      </c>
      <c r="K22" s="4">
        <f>SUMIF(Backlog!$I$2:$I$300,"Won't",Backlog!$U$2:$U$300)</f>
        <v/>
      </c>
    </row>
    <row r="23">
      <c r="A23" s="4" t="inlineStr">
        <is>
          <t>Done</t>
        </is>
      </c>
      <c r="B23" s="4">
        <f>COUNTIF(Backlog!$AD$2:$AD$300,"Done")</f>
        <v/>
      </c>
      <c r="C23" s="4">
        <f>SUMIF(Backlog!$AD$2:$AD$300,"Done",Backlog!$U$2:$U$300)</f>
        <v/>
      </c>
    </row>
    <row r="24">
      <c r="A24" s="4" t="inlineStr">
        <is>
          <t>Needs Clarification</t>
        </is>
      </c>
      <c r="B24" s="4">
        <f>COUNTIF(Backlog!$AD$2:$AD$300,"Needs Clarification")</f>
        <v/>
      </c>
      <c r="C24" s="4">
        <f>SUMIF(Backlog!$AD$2:$AD$300,"Needs Clarification",Backlog!$U$2:$U$300)</f>
        <v/>
      </c>
    </row>
    <row r="26">
      <c r="A26" s="19" t="inlineStr">
        <is>
          <t>By phase</t>
        </is>
      </c>
      <c r="B26" s="19" t="inlineStr">
        <is>
          <t>Tickets</t>
        </is>
      </c>
      <c r="C26" s="19" t="inlineStr">
        <is>
          <t>Points</t>
        </is>
      </c>
      <c r="E26" s="19" t="inlineStr">
        <is>
          <t>By type</t>
        </is>
      </c>
      <c r="F26" s="19" t="inlineStr">
        <is>
          <t>Tickets</t>
        </is>
      </c>
      <c r="G26" s="19" t="inlineStr">
        <is>
          <t>Points</t>
        </is>
      </c>
      <c r="I26" s="19" t="inlineStr">
        <is>
          <t>By Kannada status</t>
        </is>
      </c>
      <c r="J26" s="19" t="inlineStr">
        <is>
          <t>Tickets</t>
        </is>
      </c>
      <c r="K26" s="19" t="inlineStr">
        <is>
          <t>Points</t>
        </is>
      </c>
    </row>
    <row r="27">
      <c r="A27" s="4" t="inlineStr">
        <is>
          <t>P0</t>
        </is>
      </c>
      <c r="B27" s="4">
        <f>COUNTIF(Backlog!$J$2:$J$300,"P0")</f>
        <v/>
      </c>
      <c r="C27" s="4">
        <f>SUMIF(Backlog!$J$2:$J$300,"P0",Backlog!$U$2:$U$300)</f>
        <v/>
      </c>
      <c r="E27" s="4" t="inlineStr">
        <is>
          <t>Story</t>
        </is>
      </c>
      <c r="F27" s="4">
        <f>COUNTIF(Backlog!$B$2:$B$300,"Story")</f>
        <v/>
      </c>
      <c r="G27" s="4">
        <f>SUMIF(Backlog!$B$2:$B$300,"Story",Backlog!$U$2:$U$300)</f>
        <v/>
      </c>
      <c r="I27" s="4" t="inlineStr">
        <is>
          <t>N/A</t>
        </is>
      </c>
      <c r="J27" s="4">
        <f>COUNTIF(Backlog!$AI$2:$AI$300,"N/A")</f>
        <v/>
      </c>
      <c r="K27" s="4">
        <f>SUMIF(Backlog!$AI$2:$AI$300,"N/A",Backlog!$U$2:$U$300)</f>
        <v/>
      </c>
    </row>
    <row r="28">
      <c r="A28" s="4" t="inlineStr">
        <is>
          <t>P1</t>
        </is>
      </c>
      <c r="B28" s="4">
        <f>COUNTIF(Backlog!$J$2:$J$300,"P1")</f>
        <v/>
      </c>
      <c r="C28" s="4">
        <f>SUMIF(Backlog!$J$2:$J$300,"P1",Backlog!$U$2:$U$300)</f>
        <v/>
      </c>
      <c r="E28" s="4" t="inlineStr">
        <is>
          <t>Task</t>
        </is>
      </c>
      <c r="F28" s="4">
        <f>COUNTIF(Backlog!$B$2:$B$300,"Task")</f>
        <v/>
      </c>
      <c r="G28" s="4">
        <f>SUMIF(Backlog!$B$2:$B$300,"Task",Backlog!$U$2:$U$300)</f>
        <v/>
      </c>
      <c r="I28" s="4" t="inlineStr">
        <is>
          <t>Missing</t>
        </is>
      </c>
      <c r="J28" s="4">
        <f>COUNTIF(Backlog!$AI$2:$AI$300,"Missing")</f>
        <v/>
      </c>
      <c r="K28" s="4">
        <f>SUMIF(Backlog!$AI$2:$AI$300,"Missing",Backlog!$U$2:$U$300)</f>
        <v/>
      </c>
    </row>
    <row r="29">
      <c r="A29" s="4" t="inlineStr">
        <is>
          <t>P2</t>
        </is>
      </c>
      <c r="B29" s="4">
        <f>COUNTIF(Backlog!$J$2:$J$300,"P2")</f>
        <v/>
      </c>
      <c r="C29" s="4">
        <f>SUMIF(Backlog!$J$2:$J$300,"P2",Backlog!$U$2:$U$300)</f>
        <v/>
      </c>
      <c r="E29" s="4" t="inlineStr">
        <is>
          <t>Bug</t>
        </is>
      </c>
      <c r="F29" s="4">
        <f>COUNTIF(Backlog!$B$2:$B$300,"Bug")</f>
        <v/>
      </c>
      <c r="G29" s="4">
        <f>SUMIF(Backlog!$B$2:$B$300,"Bug",Backlog!$U$2:$U$300)</f>
        <v/>
      </c>
      <c r="I29" s="4" t="inlineStr">
        <is>
          <t>Draft</t>
        </is>
      </c>
      <c r="J29" s="4">
        <f>COUNTIF(Backlog!$AI$2:$AI$300,"Draft")</f>
        <v/>
      </c>
      <c r="K29" s="4">
        <f>SUMIF(Backlog!$AI$2:$AI$300,"Draft",Backlog!$U$2:$U$300)</f>
        <v/>
      </c>
    </row>
    <row r="30">
      <c r="A30" s="4" t="inlineStr">
        <is>
          <t>P3</t>
        </is>
      </c>
      <c r="B30" s="4">
        <f>COUNTIF(Backlog!$J$2:$J$300,"P3")</f>
        <v/>
      </c>
      <c r="C30" s="4">
        <f>SUMIF(Backlog!$J$2:$J$300,"P3",Backlog!$U$2:$U$300)</f>
        <v/>
      </c>
      <c r="I30" s="4" t="inlineStr">
        <is>
          <t>Needs native review</t>
        </is>
      </c>
      <c r="J30" s="4">
        <f>COUNTIF(Backlog!$AI$2:$AI$300,"Needs native review")</f>
        <v/>
      </c>
      <c r="K30" s="4">
        <f>SUMIF(Backlog!$AI$2:$AI$300,"Needs native review",Backlog!$U$2:$U$300)</f>
        <v/>
      </c>
    </row>
    <row r="31">
      <c r="A31" s="4" t="inlineStr">
        <is>
          <t>P4</t>
        </is>
      </c>
      <c r="B31" s="4">
        <f>COUNTIF(Backlog!$J$2:$J$300,"P4")</f>
        <v/>
      </c>
      <c r="C31" s="4">
        <f>SUMIF(Backlog!$J$2:$J$300,"P4",Backlog!$U$2:$U$300)</f>
        <v/>
      </c>
      <c r="I31" s="4" t="inlineStr">
        <is>
          <t>Approved</t>
        </is>
      </c>
      <c r="J31" s="4">
        <f>COUNTIF(Backlog!$AI$2:$AI$300,"Approved")</f>
        <v/>
      </c>
      <c r="K31" s="4">
        <f>SUMIF(Backlog!$AI$2:$AI$300,"Approved",Backlog!$U$2:$U$300)</f>
        <v/>
      </c>
    </row>
    <row r="32">
      <c r="A32" s="4" t="inlineStr">
        <is>
          <t>P5</t>
        </is>
      </c>
      <c r="B32" s="4">
        <f>COUNTIF(Backlog!$J$2:$J$300,"P5")</f>
        <v/>
      </c>
      <c r="C32" s="4">
        <f>SUMIF(Backlog!$J$2:$J$300,"P5",Backlog!$U$2:$U$300)</f>
        <v/>
      </c>
    </row>
    <row r="33">
      <c r="A33" s="4" t="inlineStr">
        <is>
          <t>P6</t>
        </is>
      </c>
      <c r="B33" s="4">
        <f>COUNTIF(Backlog!$J$2:$J$300,"P6")</f>
        <v/>
      </c>
      <c r="C33" s="4">
        <f>SUMIF(Backlog!$J$2:$J$300,"P6",Backlog!$U$2:$U$300)</f>
        <v/>
      </c>
    </row>
    <row r="34">
      <c r="A34" s="4" t="inlineStr">
        <is>
          <t>P7</t>
        </is>
      </c>
      <c r="B34" s="4">
        <f>COUNTIF(Backlog!$J$2:$J$300,"P7")</f>
        <v/>
      </c>
      <c r="C34" s="4">
        <f>SUMIF(Backlog!$J$2:$J$300,"P7",Backlog!$U$2:$U$300)</f>
        <v/>
      </c>
    </row>
    <row r="35">
      <c r="A35" s="4" t="inlineStr">
        <is>
          <t>P8</t>
        </is>
      </c>
      <c r="B35" s="4">
        <f>COUNTIF(Backlog!$J$2:$J$300,"P8")</f>
        <v/>
      </c>
      <c r="C35" s="4">
        <f>SUMIF(Backlog!$J$2:$J$300,"P8",Backlog!$U$2:$U$300)</f>
        <v/>
      </c>
    </row>
    <row r="37">
      <c r="A37" s="19" t="inlineStr">
        <is>
          <t>By epic</t>
        </is>
      </c>
      <c r="B37" s="19" t="inlineStr">
        <is>
          <t>Tickets</t>
        </is>
      </c>
      <c r="C37" s="19" t="inlineStr">
        <is>
          <t>Points</t>
        </is>
      </c>
    </row>
    <row r="38">
      <c r="A38" s="4" t="inlineStr">
        <is>
          <t>LS-EPIC-01</t>
        </is>
      </c>
      <c r="B38" s="4">
        <f>COUNTIF(Backlog!$C$2:$C$300,"LS-EPIC-01")</f>
        <v/>
      </c>
      <c r="C38" s="4">
        <f>SUMIF(Backlog!$C$2:$C$300,"LS-EPIC-01",Backlog!$U$2:$U$300)</f>
        <v/>
      </c>
    </row>
    <row r="39">
      <c r="A39" s="4" t="inlineStr">
        <is>
          <t>LS-EPIC-02</t>
        </is>
      </c>
      <c r="B39" s="4">
        <f>COUNTIF(Backlog!$C$2:$C$300,"LS-EPIC-02")</f>
        <v/>
      </c>
      <c r="C39" s="4">
        <f>SUMIF(Backlog!$C$2:$C$300,"LS-EPIC-02",Backlog!$U$2:$U$300)</f>
        <v/>
      </c>
    </row>
    <row r="40">
      <c r="A40" s="4" t="inlineStr">
        <is>
          <t>LS-EPIC-03</t>
        </is>
      </c>
      <c r="B40" s="4">
        <f>COUNTIF(Backlog!$C$2:$C$300,"LS-EPIC-03")</f>
        <v/>
      </c>
      <c r="C40" s="4">
        <f>SUMIF(Backlog!$C$2:$C$300,"LS-EPIC-03",Backlog!$U$2:$U$300)</f>
        <v/>
      </c>
    </row>
    <row r="41">
      <c r="A41" s="4" t="inlineStr">
        <is>
          <t>LS-EPIC-04</t>
        </is>
      </c>
      <c r="B41" s="4">
        <f>COUNTIF(Backlog!$C$2:$C$300,"LS-EPIC-04")</f>
        <v/>
      </c>
      <c r="C41" s="4">
        <f>SUMIF(Backlog!$C$2:$C$300,"LS-EPIC-04",Backlog!$U$2:$U$300)</f>
        <v/>
      </c>
    </row>
    <row r="42">
      <c r="A42" s="4" t="inlineStr">
        <is>
          <t>LS-EPIC-05</t>
        </is>
      </c>
      <c r="B42" s="4">
        <f>COUNTIF(Backlog!$C$2:$C$300,"LS-EPIC-05")</f>
        <v/>
      </c>
      <c r="C42" s="4">
        <f>SUMIF(Backlog!$C$2:$C$300,"LS-EPIC-05",Backlog!$U$2:$U$300)</f>
        <v/>
      </c>
    </row>
    <row r="43">
      <c r="A43" s="4" t="inlineStr">
        <is>
          <t>LS-EPIC-06</t>
        </is>
      </c>
      <c r="B43" s="4">
        <f>COUNTIF(Backlog!$C$2:$C$300,"LS-EPIC-06")</f>
        <v/>
      </c>
      <c r="C43" s="4">
        <f>SUMIF(Backlog!$C$2:$C$300,"LS-EPIC-06",Backlog!$U$2:$U$300)</f>
        <v/>
      </c>
    </row>
    <row r="44">
      <c r="A44" s="4" t="inlineStr">
        <is>
          <t>LS-EPIC-07</t>
        </is>
      </c>
      <c r="B44" s="4">
        <f>COUNTIF(Backlog!$C$2:$C$300,"LS-EPIC-07")</f>
        <v/>
      </c>
      <c r="C44" s="4">
        <f>SUMIF(Backlog!$C$2:$C$300,"LS-EPIC-07",Backlog!$U$2:$U$300)</f>
        <v/>
      </c>
    </row>
    <row r="45">
      <c r="A45" s="4" t="inlineStr">
        <is>
          <t>LS-EPIC-08</t>
        </is>
      </c>
      <c r="B45" s="4">
        <f>COUNTIF(Backlog!$C$2:$C$300,"LS-EPIC-08")</f>
        <v/>
      </c>
      <c r="C45" s="4">
        <f>SUMIF(Backlog!$C$2:$C$300,"LS-EPIC-08",Backlog!$U$2:$U$300)</f>
        <v/>
      </c>
    </row>
    <row r="46">
      <c r="A46" s="4" t="inlineStr">
        <is>
          <t>LS-EPIC-09</t>
        </is>
      </c>
      <c r="B46" s="4">
        <f>COUNTIF(Backlog!$C$2:$C$300,"LS-EPIC-09")</f>
        <v/>
      </c>
      <c r="C46" s="4">
        <f>SUMIF(Backlog!$C$2:$C$300,"LS-EPIC-09",Backlog!$U$2:$U$300)</f>
        <v/>
      </c>
    </row>
    <row r="47">
      <c r="A47" s="4" t="inlineStr">
        <is>
          <t>LS-EPIC-10</t>
        </is>
      </c>
      <c r="B47" s="4">
        <f>COUNTIF(Backlog!$C$2:$C$300,"LS-EPIC-10")</f>
        <v/>
      </c>
      <c r="C47" s="4">
        <f>SUMIF(Backlog!$C$2:$C$300,"LS-EPIC-10",Backlog!$U$2:$U$300)</f>
        <v/>
      </c>
    </row>
    <row r="48">
      <c r="A48" s="4" t="inlineStr">
        <is>
          <t>LS-EPIC-11</t>
        </is>
      </c>
      <c r="B48" s="4">
        <f>COUNTIF(Backlog!$C$2:$C$300,"LS-EPIC-11")</f>
        <v/>
      </c>
      <c r="C48" s="4">
        <f>SUMIF(Backlog!$C$2:$C$300,"LS-EPIC-11",Backlog!$U$2:$U$300)</f>
        <v/>
      </c>
    </row>
    <row r="49">
      <c r="A49" s="4" t="inlineStr">
        <is>
          <t>LS-EPIC-12</t>
        </is>
      </c>
      <c r="B49" s="4">
        <f>COUNTIF(Backlog!$C$2:$C$300,"LS-EPIC-12")</f>
        <v/>
      </c>
      <c r="C49" s="4">
        <f>SUMIF(Backlog!$C$2:$C$300,"LS-EPIC-12",Backlog!$U$2:$U$300)</f>
        <v/>
      </c>
    </row>
    <row r="50">
      <c r="A50" s="4" t="inlineStr">
        <is>
          <t>LS-EPIC-13</t>
        </is>
      </c>
      <c r="B50" s="4">
        <f>COUNTIF(Backlog!$C$2:$C$300,"LS-EPIC-13")</f>
        <v/>
      </c>
      <c r="C50" s="4">
        <f>SUMIF(Backlog!$C$2:$C$300,"LS-EPIC-13",Backlog!$U$2:$U$300)</f>
        <v/>
      </c>
    </row>
    <row r="51">
      <c r="A51" s="4" t="inlineStr">
        <is>
          <t>LS-EPIC-14</t>
        </is>
      </c>
      <c r="B51" s="4">
        <f>COUNTIF(Backlog!$C$2:$C$300,"LS-EPIC-14")</f>
        <v/>
      </c>
      <c r="C51" s="4">
        <f>SUMIF(Backlog!$C$2:$C$300,"LS-EPIC-14",Backlog!$U$2:$U$300)</f>
        <v/>
      </c>
    </row>
    <row r="52">
      <c r="A52" s="4" t="inlineStr">
        <is>
          <t>LS-EPIC-15</t>
        </is>
      </c>
      <c r="B52" s="4">
        <f>COUNTIF(Backlog!$C$2:$C$300,"LS-EPIC-15")</f>
        <v/>
      </c>
      <c r="C52" s="4">
        <f>SUMIF(Backlog!$C$2:$C$300,"LS-EPIC-15",Backlog!$U$2:$U$300)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995F5"/>
    <outlinePr summaryBelow="1" summaryRight="1"/>
    <pageSetUpPr/>
  </sheetPr>
  <dimension ref="A1:AL85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38" customWidth="1" min="4" max="4"/>
    <col width="55" customWidth="1" min="5" max="5"/>
    <col width="38" customWidth="1" min="6" max="6"/>
    <col width="26" customWidth="1" min="7" max="7"/>
    <col width="10" customWidth="1" min="8" max="8"/>
    <col width="9" customWidth="1" min="9" max="9"/>
    <col width="7" customWidth="1" min="10" max="10"/>
    <col width="20" customWidth="1" min="11" max="11"/>
    <col width="14" customWidth="1" min="12" max="12"/>
    <col width="38" customWidth="1" min="13" max="13"/>
    <col width="22" customWidth="1" min="14" max="14"/>
    <col width="26" customWidth="1" min="15" max="15"/>
    <col width="52" customWidth="1" min="16" max="16"/>
    <col width="40" customWidth="1" min="17" max="17"/>
    <col width="32" customWidth="1" min="18" max="18"/>
    <col width="30" customWidth="1" min="19" max="19"/>
    <col width="22" customWidth="1" min="20" max="20"/>
    <col width="9" customWidth="1" min="21" max="21"/>
    <col width="11" customWidth="1" min="22" max="22"/>
    <col width="8" customWidth="1" min="23" max="23"/>
    <col width="24" customWidth="1" min="24" max="24"/>
    <col width="12" customWidth="1" min="25" max="25"/>
    <col width="12" customWidth="1" min="26" max="26"/>
    <col width="34" customWidth="1" min="27" max="27"/>
    <col width="22" customWidth="1" min="28" max="28"/>
    <col width="14" customWidth="1" min="29" max="29"/>
    <col width="13" customWidth="1" min="30" max="30"/>
    <col width="14" customWidth="1" min="31" max="31"/>
    <col width="22" customWidth="1" min="32" max="32"/>
    <col width="22" customWidth="1" min="33" max="33"/>
    <col width="13" customWidth="1" min="34" max="34"/>
    <col width="14" customWidth="1" min="35" max="35"/>
    <col width="34" customWidth="1" min="36" max="36"/>
    <col width="18" customWidth="1" min="37" max="37"/>
    <col width="16" customWidth="1" min="38" max="38"/>
  </cols>
  <sheetData>
    <row r="1" ht="32" customHeight="1">
      <c r="A1" s="20" t="inlineStr">
        <is>
          <t>Issue Key</t>
        </is>
      </c>
      <c r="B1" s="20" t="inlineStr">
        <is>
          <t>Issue Type</t>
        </is>
      </c>
      <c r="C1" s="20" t="inlineStr">
        <is>
          <t>Epic Link</t>
        </is>
      </c>
      <c r="D1" s="20" t="inlineStr">
        <is>
          <t>Summary</t>
        </is>
      </c>
      <c r="E1" s="20" t="inlineStr">
        <is>
          <t>Description</t>
        </is>
      </c>
      <c r="F1" s="20" t="inlineStr">
        <is>
          <t>User Story</t>
        </is>
      </c>
      <c r="G1" s="20" t="inlineStr">
        <is>
          <t>Business Value</t>
        </is>
      </c>
      <c r="H1" s="20" t="inlineStr">
        <is>
          <t>Priority</t>
        </is>
      </c>
      <c r="I1" s="20" t="inlineStr">
        <is>
          <t>MoSCoW</t>
        </is>
      </c>
      <c r="J1" s="20" t="inlineStr">
        <is>
          <t>Phase</t>
        </is>
      </c>
      <c r="K1" s="20" t="inlineStr">
        <is>
          <t>Component/Module</t>
        </is>
      </c>
      <c r="L1" s="20" t="inlineStr">
        <is>
          <t>Screen ID</t>
        </is>
      </c>
      <c r="M1" s="20" t="inlineStr">
        <is>
          <t>Figma Frame Reference</t>
        </is>
      </c>
      <c r="N1" s="20" t="inlineStr">
        <is>
          <t>Dependencies</t>
        </is>
      </c>
      <c r="O1" s="20" t="inlineStr">
        <is>
          <t>Blocks / Blocked By</t>
        </is>
      </c>
      <c r="P1" s="20" t="inlineStr">
        <is>
          <t>Acceptance Criteria</t>
        </is>
      </c>
      <c r="Q1" s="20" t="inlineStr">
        <is>
          <t>Definition of Done</t>
        </is>
      </c>
      <c r="R1" s="20" t="inlineStr">
        <is>
          <t>Implementation Notes</t>
        </is>
      </c>
      <c r="S1" s="20" t="inlineStr">
        <is>
          <t>Required Tests</t>
        </is>
      </c>
      <c r="T1" s="21" t="inlineStr">
        <is>
          <t>Test Evidence</t>
        </is>
      </c>
      <c r="U1" s="20" t="inlineStr">
        <is>
          <t>Estimate (Story Points)</t>
        </is>
      </c>
      <c r="V1" s="20" t="inlineStr">
        <is>
          <t>Estimated Complexity</t>
        </is>
      </c>
      <c r="W1" s="20" t="inlineStr">
        <is>
          <t>Risk</t>
        </is>
      </c>
      <c r="X1" s="20" t="inlineStr">
        <is>
          <t>Agent Role</t>
        </is>
      </c>
      <c r="Y1" s="20" t="inlineStr">
        <is>
          <t>Parallelizable</t>
        </is>
      </c>
      <c r="Z1" s="20" t="inlineStr">
        <is>
          <t>Shared File Conflict Risk</t>
        </is>
      </c>
      <c r="AA1" s="20" t="inlineStr">
        <is>
          <t>Branch Name</t>
        </is>
      </c>
      <c r="AB1" s="21" t="inlineStr">
        <is>
          <t>Pull Request Link</t>
        </is>
      </c>
      <c r="AC1" s="21" t="inlineStr">
        <is>
          <t>Assignee</t>
        </is>
      </c>
      <c r="AD1" s="21" t="inlineStr">
        <is>
          <t>Status</t>
        </is>
      </c>
      <c r="AE1" s="20" t="inlineStr">
        <is>
          <t>Reviewer</t>
        </is>
      </c>
      <c r="AF1" s="20" t="inlineStr">
        <is>
          <t>Approval Status</t>
        </is>
      </c>
      <c r="AG1" s="21" t="inlineStr">
        <is>
          <t>Actual Result</t>
        </is>
      </c>
      <c r="AH1" s="20" t="inlineStr">
        <is>
          <t>Localization Impact</t>
        </is>
      </c>
      <c r="AI1" s="21" t="inlineStr">
        <is>
          <t>Kannada Translation Status</t>
        </is>
      </c>
      <c r="AJ1" s="20" t="inlineStr">
        <is>
          <t>Notes</t>
        </is>
      </c>
      <c r="AK1" s="20" t="inlineStr">
        <is>
          <t>Requirement IDs</t>
        </is>
      </c>
      <c r="AL1" s="20" t="inlineStr">
        <is>
          <t>Board Key (formula)</t>
        </is>
      </c>
    </row>
    <row r="2" ht="85" customHeight="1">
      <c r="A2" s="17" t="inlineStr">
        <is>
          <t>LS-001</t>
        </is>
      </c>
      <c r="B2" s="4" t="inlineStr">
        <is>
          <t>Task</t>
        </is>
      </c>
      <c r="C2" s="4" t="inlineStr">
        <is>
          <t>LS-EPIC-01</t>
        </is>
      </c>
      <c r="D2" s="4" t="inlineStr">
        <is>
          <t>Read-only repository &amp; toolchain discovery</t>
        </is>
      </c>
      <c r="E2" s="4" t="inlineStr">
        <is>
          <t>Inspect local repo, git state, branches, Gradle/AGP/Kotlin/JDK/SDK versions, modules, manifests, tests, CI, existing docs, cross-platform readiness (gradlew/gradlew.bat, .gitattributes, encodings). No file changes.</t>
        </is>
      </c>
      <c r="F2" s="4" t="inlineStr">
        <is>
          <t>–</t>
        </is>
      </c>
      <c r="G2" s="4" t="inlineStr">
        <is>
          <t>Delivery clarity – avoids rework</t>
        </is>
      </c>
      <c r="H2" s="4" t="inlineStr">
        <is>
          <t>Highest</t>
        </is>
      </c>
      <c r="I2" s="4" t="inlineStr">
        <is>
          <t>Must</t>
        </is>
      </c>
      <c r="J2" s="4" t="inlineStr">
        <is>
          <t>P0</t>
        </is>
      </c>
      <c r="K2" s="4" t="inlineStr">
        <is>
          <t>Repo / tooling</t>
        </is>
      </c>
      <c r="L2" s="4" t="inlineStr">
        <is>
          <t>–</t>
        </is>
      </c>
      <c r="M2" s="4" t="inlineStr">
        <is>
          <t>–</t>
        </is>
      </c>
      <c r="N2" s="4" t="inlineStr">
        <is>
          <t>None</t>
        </is>
      </c>
      <c r="O2" s="4" t="inlineStr">
        <is>
          <t>Blocks: LS-003, LS-005, LS-007, LS-008, LS-030, LS-131
Blocked by: –</t>
        </is>
      </c>
      <c r="P2" s="4" t="inlineStr">
        <is>
          <t>1. Discovery report covers all 17 items of master prompt §2.2
2. Zero files changed (git status clean before/after)
3. Toolchain versions and compatibility issues listed
4. Report ends with Approval gate question</t>
        </is>
      </c>
      <c r="Q2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2" s="4" t="inlineStr">
        <is>
          <t>Use tokens, string resources (EN+KN) and AppConfig only.</t>
        </is>
      </c>
      <c r="S2" s="4" t="inlineStr">
        <is>
          <t>N/A (read-only) – verify `git status` unchanged</t>
        </is>
      </c>
      <c r="T2" s="4" t="inlineStr">
        <is>
          <t>Read-only: git/GitHub inspection, Figma whoami, network probes</t>
        </is>
      </c>
      <c r="U2" s="4" t="n">
        <v>3</v>
      </c>
      <c r="V2" s="4" t="inlineStr">
        <is>
          <t>Medium</t>
        </is>
      </c>
      <c r="W2" s="4" t="inlineStr">
        <is>
          <t>Low</t>
        </is>
      </c>
      <c r="X2" s="4" t="inlineStr">
        <is>
          <t>Orchestrator</t>
        </is>
      </c>
      <c r="Y2" s="4" t="inlineStr">
        <is>
          <t>Yes</t>
        </is>
      </c>
      <c r="Z2" s="4" t="inlineStr">
        <is>
          <t>Low</t>
        </is>
      </c>
      <c r="AA2" s="4" t="inlineStr">
        <is>
          <t>feature/LS-001-read-only-repository-toolchain-discovery</t>
        </is>
      </c>
      <c r="AB2" s="4" t="inlineStr"/>
      <c r="AC2" s="4" t="inlineStr"/>
      <c r="AD2" s="4" t="inlineStr">
        <is>
          <t>Done</t>
        </is>
      </c>
      <c r="AE2" s="4" t="inlineStr">
        <is>
          <t>Project owner (human)</t>
        </is>
      </c>
      <c r="AF2" s="4" t="inlineStr">
        <is>
          <t>Approval A — report delivered</t>
        </is>
      </c>
      <c r="AG2" s="4" t="inlineStr">
        <is>
          <t>P0 assessment delivered 29 Oct 2026 (Claude Doc "LittleStory — P0 Discovery Assessment"): repo docs-only, default branch misconfigured, Figma Make not readable by agents, cloud workspace cannot reach dl.google.com.</t>
        </is>
      </c>
      <c r="AH2" s="4" t="inlineStr">
        <is>
          <t>None</t>
        </is>
      </c>
      <c r="AI2" s="4" t="inlineStr">
        <is>
          <t>N/A</t>
        </is>
      </c>
      <c r="AJ2" s="4" t="inlineStr">
        <is>
          <t>Run on owner's machine via Claude Code CLI.</t>
        </is>
      </c>
      <c r="AK2" s="4" t="inlineStr">
        <is>
          <t>NFR-09</t>
        </is>
      </c>
      <c r="AL2" s="22">
        <f>AD2&amp;"|"&amp;COUNTIF(AD$2:AD2,AD2)</f>
        <v/>
      </c>
    </row>
    <row r="3" ht="85" customHeight="1">
      <c r="A3" s="17" t="inlineStr">
        <is>
          <t>LS-002</t>
        </is>
      </c>
      <c r="B3" s="4" t="inlineStr">
        <is>
          <t>Task</t>
        </is>
      </c>
      <c r="C3" s="4" t="inlineStr">
        <is>
          <t>LS-EPIC-01</t>
        </is>
      </c>
      <c r="D3" s="4" t="inlineStr">
        <is>
          <t>Extract Figma Make design: screen inventory, tokens, specs</t>
        </is>
      </c>
      <c r="E3" s="4" t="inlineStr">
        <is>
          <t>Inventory all screens/states of Figma Make file 2DYtUW39GtnsDpUd5jSu6x; extract tokens, typography, components, motion, copy and accessibility gaps.</t>
        </is>
      </c>
      <c r="F3" s="4" t="inlineStr">
        <is>
          <t>–</t>
        </is>
      </c>
      <c r="G3" s="4" t="inlineStr">
        <is>
          <t>Delivery clarity – avoids rework</t>
        </is>
      </c>
      <c r="H3" s="4" t="inlineStr">
        <is>
          <t>Highest</t>
        </is>
      </c>
      <c r="I3" s="4" t="inlineStr">
        <is>
          <t>Must</t>
        </is>
      </c>
      <c r="J3" s="4" t="inlineStr">
        <is>
          <t>P0</t>
        </is>
      </c>
      <c r="K3" s="4" t="inlineStr">
        <is>
          <t>Design</t>
        </is>
      </c>
      <c r="L3" s="4" t="inlineStr">
        <is>
          <t>SCR-01…SCR-18</t>
        </is>
      </c>
      <c r="M3" s="5" t="inlineStr">
        <is>
          <t>Design pack – all screens (docs/design/screens/)</t>
        </is>
      </c>
      <c r="N3" s="4" t="inlineStr">
        <is>
          <t>None</t>
        </is>
      </c>
      <c r="O3" s="4" t="inlineStr">
        <is>
          <t>Blocks: LS-003, LS-004, LS-008
Blocked by: –</t>
        </is>
      </c>
      <c r="P3" s="4" t="inlineStr">
        <is>
          <t>1. All prototype screens listed with screenshot
2. Tokens JSON produced
3. Component catalogue and per-screen specs written
4. Missing designs identified</t>
        </is>
      </c>
      <c r="Q3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3" s="4" t="inlineStr">
        <is>
          <t>Use tokens, string resources (EN+KN) and AppConfig only.</t>
        </is>
      </c>
      <c r="S3" s="4" t="inlineStr">
        <is>
          <t>Manual review</t>
        </is>
      </c>
      <c r="T3" s="4" t="inlineStr">
        <is>
          <t>docs/design/: 22 screenshots, design-tokens.json, LittleStory_Figma_Design_Details.md</t>
        </is>
      </c>
      <c r="U3" s="4" t="n">
        <v>3</v>
      </c>
      <c r="V3" s="4" t="inlineStr">
        <is>
          <t>Medium</t>
        </is>
      </c>
      <c r="W3" s="4" t="inlineStr">
        <is>
          <t>Low</t>
        </is>
      </c>
      <c r="X3" s="4" t="inlineStr">
        <is>
          <t>UI Integration &amp; Visual Regression Engineer</t>
        </is>
      </c>
      <c r="Y3" s="4" t="inlineStr">
        <is>
          <t>Yes</t>
        </is>
      </c>
      <c r="Z3" s="4" t="inlineStr">
        <is>
          <t>Low</t>
        </is>
      </c>
      <c r="AA3" s="4" t="inlineStr">
        <is>
          <t>– (no code)</t>
        </is>
      </c>
      <c r="AB3" s="4" t="inlineStr"/>
      <c r="AC3" s="4" t="inlineStr"/>
      <c r="AD3" s="4" t="inlineStr">
        <is>
          <t>Done</t>
        </is>
      </c>
      <c r="AE3" s="4" t="inlineStr">
        <is>
          <t>Project owner (human)</t>
        </is>
      </c>
      <c r="AF3" s="4" t="inlineStr">
        <is>
          <t>Not required – design pack supplied</t>
        </is>
      </c>
      <c r="AG3" s="4" t="inlineStr">
        <is>
          <t>18 screens / 22 states inventoried; tokens, typography, components, motion, a11y gaps extracted; 5 missing screens identified</t>
        </is>
      </c>
      <c r="AH3" s="4" t="inlineStr">
        <is>
          <t>None</t>
        </is>
      </c>
      <c r="AI3" s="4" t="inlineStr">
        <is>
          <t>N/A</t>
        </is>
      </c>
      <c r="AJ3" s="4" t="inlineStr">
        <is>
          <t>Completed from supplied design pack: LittleStory_Figma_Design_Details.md, design-tokens.json, 22 screenshots.</t>
        </is>
      </c>
      <c r="AK3" s="4" t="inlineStr">
        <is>
          <t>NFR-10</t>
        </is>
      </c>
      <c r="AL3" s="22">
        <f>AD3&amp;"|"&amp;COUNTIF(AD$2:AD3,AD3)</f>
        <v/>
      </c>
    </row>
    <row r="4" ht="85" customHeight="1">
      <c r="A4" s="17" t="inlineStr">
        <is>
          <t>LS-003</t>
        </is>
      </c>
      <c r="B4" s="4" t="inlineStr">
        <is>
          <t>Task</t>
        </is>
      </c>
      <c r="C4" s="4" t="inlineStr">
        <is>
          <t>LS-EPIC-01</t>
        </is>
      </c>
      <c r="D4" s="4" t="inlineStr">
        <is>
          <t>Requirements catalogue, user journeys A–G and edge cases</t>
        </is>
      </c>
      <c r="E4" s="4" t="inlineStr">
        <is>
          <t>Write docs/product/* (vision, FR/NFR from the Requirements sheet, journeys A–G incl. language change, edge cases, MVP scope) and docs/design/screen-inventory.md + screen-state-matrix.md.</t>
        </is>
      </c>
      <c r="F4" s="4" t="inlineStr">
        <is>
          <t>–</t>
        </is>
      </c>
      <c r="G4" s="4" t="inlineStr">
        <is>
          <t>Delivery clarity – avoids rework</t>
        </is>
      </c>
      <c r="H4" s="4" t="inlineStr">
        <is>
          <t>High</t>
        </is>
      </c>
      <c r="I4" s="4" t="inlineStr">
        <is>
          <t>Must</t>
        </is>
      </c>
      <c r="J4" s="4" t="inlineStr">
        <is>
          <t>P1</t>
        </is>
      </c>
      <c r="K4" s="4" t="inlineStr">
        <is>
          <t>Docs</t>
        </is>
      </c>
      <c r="L4" s="4" t="inlineStr">
        <is>
          <t>All</t>
        </is>
      </c>
      <c r="M4" s="5" t="inlineStr">
        <is>
          <t>Design pack – all screens (docs/design/screens/)</t>
        </is>
      </c>
      <c r="N4" s="4" t="inlineStr">
        <is>
          <t>LS-001, LS-002</t>
        </is>
      </c>
      <c r="O4" s="4" t="inlineStr">
        <is>
          <t>Blocks: LS-006
Blocked by: LS-001, LS-002</t>
        </is>
      </c>
      <c r="P4" s="4" t="inlineStr">
        <is>
          <t>1. Every FR/NFR has ID, MoSCoW, source, screens, acceptance summary
2. Journeys map to SCR IDs
3. Edge cases include Kannada text expansion, empty states, cancel/retry
4. Unverified items marked as assumptions</t>
        </is>
      </c>
      <c r="Q4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4" s="4" t="inlineStr">
        <is>
          <t>Use tokens, string resources (EN+KN) and AppConfig only.</t>
        </is>
      </c>
      <c r="S4" s="4" t="inlineStr">
        <is>
          <t>Doc review</t>
        </is>
      </c>
      <c r="T4" s="4" t="inlineStr"/>
      <c r="U4" s="4" t="n">
        <v>5</v>
      </c>
      <c r="V4" s="4" t="inlineStr">
        <is>
          <t>High</t>
        </is>
      </c>
      <c r="W4" s="4" t="inlineStr">
        <is>
          <t>Low</t>
        </is>
      </c>
      <c r="X4" s="4" t="inlineStr">
        <is>
          <t>Product Manager / BA</t>
        </is>
      </c>
      <c r="Y4" s="4" t="inlineStr">
        <is>
          <t>Yes</t>
        </is>
      </c>
      <c r="Z4" s="4" t="inlineStr">
        <is>
          <t>Low</t>
        </is>
      </c>
      <c r="AA4" s="4" t="inlineStr">
        <is>
          <t>claude/project-thread-veobz7</t>
        </is>
      </c>
      <c r="AB4" s="4" t="inlineStr"/>
      <c r="AC4" s="4" t="inlineStr"/>
      <c r="AD4" s="4" t="inlineStr">
        <is>
          <t>In Review</t>
        </is>
      </c>
      <c r="AE4" s="4" t="inlineStr">
        <is>
          <t>Project owner (human)</t>
        </is>
      </c>
      <c r="AF4" s="4" t="inlineStr">
        <is>
          <t>Approval B granted — awaiting owner review of docs PR</t>
        </is>
      </c>
      <c r="AG4" s="4" t="inlineStr">
        <is>
          <t>Drafted 29 Oct 2026: docs/product/*</t>
        </is>
      </c>
      <c r="AH4" s="4" t="inlineStr">
        <is>
          <t>None</t>
        </is>
      </c>
      <c r="AI4" s="4" t="inlineStr">
        <is>
          <t>N/A</t>
        </is>
      </c>
      <c r="AJ4" s="4" t="inlineStr"/>
      <c r="AK4" s="4" t="inlineStr">
        <is>
          <t>All FR/NFR</t>
        </is>
      </c>
      <c r="AL4" s="22">
        <f>AD4&amp;"|"&amp;COUNTIF(AD$2:AD4,AD4)</f>
        <v/>
      </c>
    </row>
    <row r="5" ht="85" customHeight="1">
      <c r="A5" s="17" t="inlineStr">
        <is>
          <t>LS-004</t>
        </is>
      </c>
      <c r="B5" s="4" t="inlineStr">
        <is>
          <t>Task</t>
        </is>
      </c>
      <c r="C5" s="4" t="inlineStr">
        <is>
          <t>LS-EPIC-01</t>
        </is>
      </c>
      <c r="D5" s="4" t="inlineStr">
        <is>
          <t>Resolve design gaps &amp; open product decisions</t>
        </is>
      </c>
      <c r="E5" s="4" t="inlineStr">
        <is>
          <t>Decision log for: LittleKatha→LittleStory rename in assets; 7 design languages vs EN/KN MVP; missing screens (SCR-19…23); app vs story language; reminders scheduling; demo subscription flag; gendered placeholder copy; greeting time-of-day; transition animations; swipe in onboarding.</t>
        </is>
      </c>
      <c r="F5" s="4" t="inlineStr">
        <is>
          <t>–</t>
        </is>
      </c>
      <c r="G5" s="4" t="inlineStr">
        <is>
          <t>Delivery clarity – avoids rework</t>
        </is>
      </c>
      <c r="H5" s="4" t="inlineStr">
        <is>
          <t>High</t>
        </is>
      </c>
      <c r="I5" s="4" t="inlineStr">
        <is>
          <t>Must</t>
        </is>
      </c>
      <c r="J5" s="4" t="inlineStr">
        <is>
          <t>P1</t>
        </is>
      </c>
      <c r="K5" s="4" t="inlineStr">
        <is>
          <t>Docs / Design</t>
        </is>
      </c>
      <c r="L5" s="4" t="inlineStr">
        <is>
          <t>SCR-19…SCR-23</t>
        </is>
      </c>
      <c r="M5" s="5" t="inlineStr">
        <is>
          <t>Design pack – all screens (docs/design/screens/)</t>
        </is>
      </c>
      <c r="N5" s="4" t="inlineStr">
        <is>
          <t>LS-002</t>
        </is>
      </c>
      <c r="O5" s="4" t="inlineStr">
        <is>
          <t>Blocks: LS-046, LS-051, LS-111, LS-113, LS-114, LS-115
Blocked by: LS-002</t>
        </is>
      </c>
      <c r="P5" s="4" t="inlineStr">
        <is>
          <t>1. Each open question in 'Risks &amp; Questions' has an owner decision or explicit deferral
2. Decisions recorded in docs/project-management/decision-log.md
3. Affected tickets updated</t>
        </is>
      </c>
      <c r="Q5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5" s="4" t="inlineStr">
        <is>
          <t>Use tokens, string resources (EN+KN) and AppConfig only.</t>
        </is>
      </c>
      <c r="S5" s="4" t="inlineStr">
        <is>
          <t>Doc review</t>
        </is>
      </c>
      <c r="T5" s="4" t="inlineStr"/>
      <c r="U5" s="4" t="n">
        <v>2</v>
      </c>
      <c r="V5" s="4" t="inlineStr">
        <is>
          <t>Low</t>
        </is>
      </c>
      <c r="W5" s="4" t="inlineStr">
        <is>
          <t>Medium</t>
        </is>
      </c>
      <c r="X5" s="4" t="inlineStr">
        <is>
          <t>Technical Product Owner</t>
        </is>
      </c>
      <c r="Y5" s="4" t="inlineStr">
        <is>
          <t>Yes</t>
        </is>
      </c>
      <c r="Z5" s="4" t="inlineStr">
        <is>
          <t>Low</t>
        </is>
      </c>
      <c r="AA5" s="4" t="inlineStr">
        <is>
          <t>claude/project-thread-veobz7</t>
        </is>
      </c>
      <c r="AB5" s="4" t="inlineStr"/>
      <c r="AC5" s="4" t="inlineStr"/>
      <c r="AD5" s="4" t="inlineStr">
        <is>
          <t>In Review</t>
        </is>
      </c>
      <c r="AE5" s="4" t="inlineStr">
        <is>
          <t>Project owner (human)</t>
        </is>
      </c>
      <c r="AF5" s="4" t="inlineStr">
        <is>
          <t>Approval B granted — awaiting owner review of docs PR</t>
        </is>
      </c>
      <c r="AG5" s="4" t="inlineStr">
        <is>
          <t>Drafted 29 Oct 2026: docs/project-management/decision-log.md (D10, D13), docs/design/figma-audit.md</t>
        </is>
      </c>
      <c r="AH5" s="4" t="inlineStr">
        <is>
          <t>None</t>
        </is>
      </c>
      <c r="AI5" s="4" t="inlineStr">
        <is>
          <t>N/A</t>
        </is>
      </c>
      <c r="AJ5" s="4" t="inlineStr">
        <is>
          <t>Blocks LS-046, LS-051, LS-111, LS-113, LS-114, LS-115.</t>
        </is>
      </c>
      <c r="AK5" s="4" t="inlineStr">
        <is>
          <t>FR-20, FR-22, FR-23, FR-25</t>
        </is>
      </c>
      <c r="AL5" s="22">
        <f>AD5&amp;"|"&amp;COUNTIF(AD$2:AD5,AD5)</f>
        <v/>
      </c>
    </row>
    <row r="6" ht="85" customHeight="1">
      <c r="A6" s="17" t="inlineStr">
        <is>
          <t>LS-005</t>
        </is>
      </c>
      <c r="B6" s="4" t="inlineStr">
        <is>
          <t>Task</t>
        </is>
      </c>
      <c r="C6" s="4" t="inlineStr">
        <is>
          <t>LS-EPIC-01</t>
        </is>
      </c>
      <c r="D6" s="4" t="inlineStr">
        <is>
          <t>CLAUDE.md and .github/copilot-instructions.md</t>
        </is>
      </c>
      <c r="E6" s="4" t="inlineStr">
        <is>
          <t>Agent instructions mirrored for Claude Code and GitHub Copilot: architecture, no-hardcoding, EN/KN localization, testing, cross-platform, approval levels.</t>
        </is>
      </c>
      <c r="F6" s="4" t="inlineStr">
        <is>
          <t>–</t>
        </is>
      </c>
      <c r="G6" s="4" t="inlineStr">
        <is>
          <t>Delivery clarity – avoids rework</t>
        </is>
      </c>
      <c r="H6" s="4" t="inlineStr">
        <is>
          <t>High</t>
        </is>
      </c>
      <c r="I6" s="4" t="inlineStr">
        <is>
          <t>Must</t>
        </is>
      </c>
      <c r="J6" s="4" t="inlineStr">
        <is>
          <t>P1</t>
        </is>
      </c>
      <c r="K6" s="4" t="inlineStr">
        <is>
          <t>Repo root</t>
        </is>
      </c>
      <c r="L6" s="4" t="inlineStr">
        <is>
          <t>–</t>
        </is>
      </c>
      <c r="M6" s="4" t="inlineStr">
        <is>
          <t>–</t>
        </is>
      </c>
      <c r="N6" s="4" t="inlineStr">
        <is>
          <t>LS-001</t>
        </is>
      </c>
      <c r="O6" s="4" t="inlineStr">
        <is>
          <t>Blocks: –
Blocked by: LS-001</t>
        </is>
      </c>
      <c r="P6" s="4" t="inlineStr">
        <is>
          <t>1. Both files exist with consistent rules
2. Rules reference docs paths
3. Approval levels A–F stated</t>
        </is>
      </c>
      <c r="Q6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6" s="4" t="inlineStr">
        <is>
          <t>Shared files: CLAUDE.md, .github/copilot-instructions.md Use tokens, string resources (EN+KN) and AppConfig only.</t>
        </is>
      </c>
      <c r="S6" s="4" t="inlineStr">
        <is>
          <t>Doc review</t>
        </is>
      </c>
      <c r="T6" s="4" t="inlineStr"/>
      <c r="U6" s="4" t="n">
        <v>2</v>
      </c>
      <c r="V6" s="4" t="inlineStr">
        <is>
          <t>Low</t>
        </is>
      </c>
      <c r="W6" s="4" t="inlineStr">
        <is>
          <t>Low</t>
        </is>
      </c>
      <c r="X6" s="4" t="inlineStr">
        <is>
          <t>Orchestrator</t>
        </is>
      </c>
      <c r="Y6" s="4" t="inlineStr">
        <is>
          <t>Yes</t>
        </is>
      </c>
      <c r="Z6" s="4" t="inlineStr">
        <is>
          <t>Medium</t>
        </is>
      </c>
      <c r="AA6" s="4" t="inlineStr">
        <is>
          <t>claude/project-thread-veobz7</t>
        </is>
      </c>
      <c r="AB6" s="4" t="inlineStr"/>
      <c r="AC6" s="4" t="inlineStr"/>
      <c r="AD6" s="4" t="inlineStr">
        <is>
          <t>In Review</t>
        </is>
      </c>
      <c r="AE6" s="4" t="inlineStr">
        <is>
          <t>Project owner (human)</t>
        </is>
      </c>
      <c r="AF6" s="4" t="inlineStr">
        <is>
          <t>Approval B granted — awaiting owner review of docs PR</t>
        </is>
      </c>
      <c r="AG6" s="4" t="inlineStr">
        <is>
          <t>Drafted 29 Oct 2026: CLAUDE.md, .github/copilot-instructions.md</t>
        </is>
      </c>
      <c r="AH6" s="4" t="inlineStr">
        <is>
          <t>None</t>
        </is>
      </c>
      <c r="AI6" s="4" t="inlineStr">
        <is>
          <t>N/A</t>
        </is>
      </c>
      <c r="AJ6" s="4" t="inlineStr"/>
      <c r="AK6" s="4" t="inlineStr">
        <is>
          <t>NFR-01, NFR-02, NFR-09</t>
        </is>
      </c>
      <c r="AL6" s="22">
        <f>AD6&amp;"|"&amp;COUNTIF(AD$2:AD6,AD6)</f>
        <v/>
      </c>
    </row>
    <row r="7" ht="85" customHeight="1">
      <c r="A7" s="17" t="inlineStr">
        <is>
          <t>LS-006</t>
        </is>
      </c>
      <c r="B7" s="4" t="inlineStr">
        <is>
          <t>Task</t>
        </is>
      </c>
      <c r="C7" s="4" t="inlineStr">
        <is>
          <t>LS-EPIC-01</t>
        </is>
      </c>
      <c r="D7" s="4" t="inlineStr">
        <is>
          <t>Prompt library (prompts/00–21) and per-ticket prompts</t>
        </is>
      </c>
      <c r="E7" s="4" t="inlineStr">
        <is>
          <t>Create prompts listed in the Prompt Library sheet and prompts/tickets/LS-###.md for each ticket with scope, forbidden changes, l10n and stop conditions.</t>
        </is>
      </c>
      <c r="F7" s="4" t="inlineStr">
        <is>
          <t>–</t>
        </is>
      </c>
      <c r="G7" s="4" t="inlineStr">
        <is>
          <t>Delivery clarity – avoids rework</t>
        </is>
      </c>
      <c r="H7" s="4" t="inlineStr">
        <is>
          <t>Medium</t>
        </is>
      </c>
      <c r="I7" s="4" t="inlineStr">
        <is>
          <t>Must</t>
        </is>
      </c>
      <c r="J7" s="4" t="inlineStr">
        <is>
          <t>P1</t>
        </is>
      </c>
      <c r="K7" s="4" t="inlineStr">
        <is>
          <t>prompts/</t>
        </is>
      </c>
      <c r="L7" s="4" t="inlineStr">
        <is>
          <t>–</t>
        </is>
      </c>
      <c r="M7" s="4" t="inlineStr">
        <is>
          <t>–</t>
        </is>
      </c>
      <c r="N7" s="4" t="inlineStr">
        <is>
          <t>LS-003, LS-008</t>
        </is>
      </c>
      <c r="O7" s="4" t="inlineStr">
        <is>
          <t>Blocks: –
Blocked by: LS-003, LS-008</t>
        </is>
      </c>
      <c r="P7" s="4" t="inlineStr">
        <is>
          <t>1. All prompt files exist and do not contradict the master prompt
2. Each ticket prompt includes forbidden-hardcoding rule and EN/KN requirement</t>
        </is>
      </c>
      <c r="Q7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7" s="4" t="inlineStr">
        <is>
          <t>Use tokens, string resources (EN+KN) and AppConfig only.</t>
        </is>
      </c>
      <c r="S7" s="4" t="inlineStr">
        <is>
          <t>Doc review</t>
        </is>
      </c>
      <c r="T7" s="4" t="inlineStr"/>
      <c r="U7" s="4" t="n">
        <v>3</v>
      </c>
      <c r="V7" s="4" t="inlineStr">
        <is>
          <t>Medium</t>
        </is>
      </c>
      <c r="W7" s="4" t="inlineStr">
        <is>
          <t>Low</t>
        </is>
      </c>
      <c r="X7" s="4" t="inlineStr">
        <is>
          <t>Documentation &amp; Jira Backlog Manager</t>
        </is>
      </c>
      <c r="Y7" s="4" t="inlineStr">
        <is>
          <t>Yes</t>
        </is>
      </c>
      <c r="Z7" s="4" t="inlineStr">
        <is>
          <t>Low</t>
        </is>
      </c>
      <c r="AA7" s="4" t="inlineStr">
        <is>
          <t>claude/project-thread-veobz7</t>
        </is>
      </c>
      <c r="AB7" s="4" t="inlineStr"/>
      <c r="AC7" s="4" t="inlineStr"/>
      <c r="AD7" s="4" t="inlineStr">
        <is>
          <t>In Review</t>
        </is>
      </c>
      <c r="AE7" s="4" t="inlineStr">
        <is>
          <t>Project owner (human)</t>
        </is>
      </c>
      <c r="AF7" s="4" t="inlineStr">
        <is>
          <t>Approval B granted — awaiting owner review of docs PR</t>
        </is>
      </c>
      <c r="AG7" s="4" t="inlineStr">
        <is>
          <t>Drafted 29 Oct 2026: prompts/00–21, prompts/tickets/ (P2)</t>
        </is>
      </c>
      <c r="AH7" s="4" t="inlineStr">
        <is>
          <t>None</t>
        </is>
      </c>
      <c r="AI7" s="4" t="inlineStr">
        <is>
          <t>N/A</t>
        </is>
      </c>
      <c r="AJ7" s="4" t="inlineStr"/>
      <c r="AK7" s="4" t="inlineStr"/>
      <c r="AL7" s="22">
        <f>AD7&amp;"|"&amp;COUNTIF(AD$2:AD7,AD7)</f>
        <v/>
      </c>
    </row>
    <row r="8" ht="85" customHeight="1">
      <c r="A8" s="17" t="inlineStr">
        <is>
          <t>LS-007</t>
        </is>
      </c>
      <c r="B8" s="4" t="inlineStr">
        <is>
          <t>Task</t>
        </is>
      </c>
      <c r="C8" s="4" t="inlineStr">
        <is>
          <t>LS-EPIC-01</t>
        </is>
      </c>
      <c r="D8" s="4" t="inlineStr">
        <is>
          <t>Commit backlog workbook and design reference pack to docs/</t>
        </is>
      </c>
      <c r="E8" s="4" t="inlineStr">
        <is>
          <t>Place this workbook at docs/project-management/ and the design pack at docs/design/ (screens/, design-tokens.json, LittleStory_Figma_Design_Details.md) so hyperlinks resolve.</t>
        </is>
      </c>
      <c r="F8" s="4" t="inlineStr">
        <is>
          <t>–</t>
        </is>
      </c>
      <c r="G8" s="4" t="inlineStr">
        <is>
          <t>Delivery clarity – avoids rework</t>
        </is>
      </c>
      <c r="H8" s="4" t="inlineStr">
        <is>
          <t>Medium</t>
        </is>
      </c>
      <c r="I8" s="4" t="inlineStr">
        <is>
          <t>Must</t>
        </is>
      </c>
      <c r="J8" s="4" t="inlineStr">
        <is>
          <t>P1</t>
        </is>
      </c>
      <c r="K8" s="4" t="inlineStr">
        <is>
          <t>Docs</t>
        </is>
      </c>
      <c r="L8" s="4" t="inlineStr">
        <is>
          <t>All</t>
        </is>
      </c>
      <c r="M8" s="5" t="inlineStr">
        <is>
          <t>Design pack – all screens (docs/design/screens/)</t>
        </is>
      </c>
      <c r="N8" s="4" t="inlineStr">
        <is>
          <t>LS-001</t>
        </is>
      </c>
      <c r="O8" s="4" t="inlineStr">
        <is>
          <t>Blocks: –
Blocked by: LS-001</t>
        </is>
      </c>
      <c r="P8" s="4" t="inlineStr">
        <is>
          <t>1. Workbook opens with all sheets and images
2. Screenshot hyperlinks resolve from docs/project-management/
3. Committed on a docs branch via PR</t>
        </is>
      </c>
      <c r="Q8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8" s="4" t="inlineStr">
        <is>
          <t>Use tokens, string resources (EN+KN) and AppConfig only.</t>
        </is>
      </c>
      <c r="S8" s="4" t="inlineStr">
        <is>
          <t>Open workbook; click 3 screenshot links</t>
        </is>
      </c>
      <c r="T8" s="4" t="inlineStr"/>
      <c r="U8" s="4" t="n">
        <v>1</v>
      </c>
      <c r="V8" s="4" t="inlineStr">
        <is>
          <t>Low</t>
        </is>
      </c>
      <c r="W8" s="4" t="inlineStr">
        <is>
          <t>Low</t>
        </is>
      </c>
      <c r="X8" s="4" t="inlineStr">
        <is>
          <t>Documentation &amp; Jira Backlog Manager</t>
        </is>
      </c>
      <c r="Y8" s="4" t="inlineStr">
        <is>
          <t>Yes</t>
        </is>
      </c>
      <c r="Z8" s="4" t="inlineStr">
        <is>
          <t>Low</t>
        </is>
      </c>
      <c r="AA8" s="4" t="inlineStr">
        <is>
          <t>claude/project-thread-veobz7</t>
        </is>
      </c>
      <c r="AB8" s="4" t="inlineStr"/>
      <c r="AC8" s="4" t="inlineStr"/>
      <c r="AD8" s="4" t="inlineStr">
        <is>
          <t>In Review</t>
        </is>
      </c>
      <c r="AE8" s="4" t="inlineStr">
        <is>
          <t>Project owner (human)</t>
        </is>
      </c>
      <c r="AF8" s="4" t="inlineStr">
        <is>
          <t>Approval B granted — awaiting owner review of docs PR</t>
        </is>
      </c>
      <c r="AG8" s="4" t="inlineStr">
        <is>
          <t>Drafted 29 Oct 2026: docs/ (design pack in PR #1)</t>
        </is>
      </c>
      <c r="AH8" s="4" t="inlineStr">
        <is>
          <t>None</t>
        </is>
      </c>
      <c r="AI8" s="4" t="inlineStr">
        <is>
          <t>N/A</t>
        </is>
      </c>
      <c r="AJ8" s="4" t="inlineStr"/>
      <c r="AK8" s="4" t="inlineStr"/>
      <c r="AL8" s="22">
        <f>AD8&amp;"|"&amp;COUNTIF(AD$2:AD8,AD8)</f>
        <v/>
      </c>
    </row>
    <row r="9" ht="85" customHeight="1">
      <c r="A9" s="17" t="inlineStr">
        <is>
          <t>LS-008</t>
        </is>
      </c>
      <c r="B9" s="4" t="inlineStr">
        <is>
          <t>Task</t>
        </is>
      </c>
      <c r="C9" s="4" t="inlineStr">
        <is>
          <t>LS-EPIC-01</t>
        </is>
      </c>
      <c r="D9" s="4" t="inlineStr">
        <is>
          <t>Architecture ADRs (ADR-001…015)</t>
        </is>
      </c>
      <c r="E9" s="4" t="inlineStr">
        <is>
          <t>Write ADRs listed in the Architecture Decisions sheet with options, rationale, consequences; status Proposed until owner approval.</t>
        </is>
      </c>
      <c r="F9" s="4" t="inlineStr">
        <is>
          <t>–</t>
        </is>
      </c>
      <c r="G9" s="4" t="inlineStr">
        <is>
          <t>Delivery clarity – avoids rework</t>
        </is>
      </c>
      <c r="H9" s="4" t="inlineStr">
        <is>
          <t>High</t>
        </is>
      </c>
      <c r="I9" s="4" t="inlineStr">
        <is>
          <t>Must</t>
        </is>
      </c>
      <c r="J9" s="4" t="inlineStr">
        <is>
          <t>P1</t>
        </is>
      </c>
      <c r="K9" s="4" t="inlineStr">
        <is>
          <t>Docs / Architecture</t>
        </is>
      </c>
      <c r="L9" s="4" t="inlineStr">
        <is>
          <t>–</t>
        </is>
      </c>
      <c r="M9" s="4" t="inlineStr">
        <is>
          <t>–</t>
        </is>
      </c>
      <c r="N9" s="4" t="inlineStr">
        <is>
          <t>LS-001, LS-002</t>
        </is>
      </c>
      <c r="O9" s="4" t="inlineStr">
        <is>
          <t>Blocks: LS-006, LS-030, LS-031
Blocked by: LS-001, LS-002</t>
        </is>
      </c>
      <c r="P9" s="4" t="inlineStr">
        <is>
          <t>1. 15 ADRs in docs/architecture/adr/
2. Each references affected tickets
3. Owner approves or comments</t>
        </is>
      </c>
      <c r="Q9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9" s="4" t="inlineStr">
        <is>
          <t>Use tokens, string resources (EN+KN) and AppConfig only.</t>
        </is>
      </c>
      <c r="S9" s="4" t="inlineStr">
        <is>
          <t>Doc review</t>
        </is>
      </c>
      <c r="T9" s="4" t="inlineStr"/>
      <c r="U9" s="4" t="n">
        <v>3</v>
      </c>
      <c r="V9" s="4" t="inlineStr">
        <is>
          <t>Medium</t>
        </is>
      </c>
      <c r="W9" s="4" t="inlineStr">
        <is>
          <t>Low</t>
        </is>
      </c>
      <c r="X9" s="4" t="inlineStr">
        <is>
          <t>Android Principal Architect</t>
        </is>
      </c>
      <c r="Y9" s="4" t="inlineStr">
        <is>
          <t>Yes</t>
        </is>
      </c>
      <c r="Z9" s="4" t="inlineStr">
        <is>
          <t>Low</t>
        </is>
      </c>
      <c r="AA9" s="4" t="inlineStr">
        <is>
          <t>claude/project-thread-veobz7</t>
        </is>
      </c>
      <c r="AB9" s="4" t="inlineStr"/>
      <c r="AC9" s="4" t="inlineStr"/>
      <c r="AD9" s="4" t="inlineStr">
        <is>
          <t>In Review</t>
        </is>
      </c>
      <c r="AE9" s="4" t="inlineStr">
        <is>
          <t>Project owner (human)</t>
        </is>
      </c>
      <c r="AF9" s="4" t="inlineStr">
        <is>
          <t>Approval B granted — awaiting owner review of docs PR</t>
        </is>
      </c>
      <c r="AG9" s="4" t="inlineStr">
        <is>
          <t>Drafted 29 Oct 2026: docs/architecture/adr/ADR-001…018</t>
        </is>
      </c>
      <c r="AH9" s="4" t="inlineStr">
        <is>
          <t>None</t>
        </is>
      </c>
      <c r="AI9" s="4" t="inlineStr">
        <is>
          <t>N/A</t>
        </is>
      </c>
      <c r="AJ9" s="4" t="inlineStr"/>
      <c r="AK9" s="4" t="inlineStr">
        <is>
          <t>NFR-05</t>
        </is>
      </c>
      <c r="AL9" s="22">
        <f>AD9&amp;"|"&amp;COUNTIF(AD$2:AD9,AD9)</f>
        <v/>
      </c>
    </row>
    <row r="10" ht="85" customHeight="1">
      <c r="A10" s="17" t="inlineStr">
        <is>
          <t>LS-010</t>
        </is>
      </c>
      <c r="B10" s="4" t="inlineStr">
        <is>
          <t>Story</t>
        </is>
      </c>
      <c r="C10" s="4" t="inlineStr">
        <is>
          <t>LS-EPIC-02</t>
        </is>
      </c>
      <c r="D10" s="4" t="inlineStr">
        <is>
          <t>Colour tokens → Compose theme</t>
        </is>
      </c>
      <c r="E10" s="4" t="inlineStr">
        <is>
          <t>Implement all colours from design-tokens.json as named tokens: Material3 ColorScheme mapping + LittleStoryColors extension (night, night-surface, success-bg, favourite, story-art gradients, illustration colours). Single light theme with night surfaces (ADR-013).</t>
        </is>
      </c>
      <c r="F10" s="4" t="inlineStr">
        <is>
          <t>As a developer, I want every colour as a named token so design changes happen in one place.</t>
        </is>
      </c>
      <c r="G10" s="4" t="inlineStr">
        <is>
          <t>Visual fidelity and consistency</t>
        </is>
      </c>
      <c r="H10" s="4" t="inlineStr">
        <is>
          <t>High</t>
        </is>
      </c>
      <c r="I10" s="4" t="inlineStr">
        <is>
          <t>Must</t>
        </is>
      </c>
      <c r="J10" s="4" t="inlineStr">
        <is>
          <t>P2</t>
        </is>
      </c>
      <c r="K10" s="4" t="inlineStr">
        <is>
          <t>:core:designsystem</t>
        </is>
      </c>
      <c r="L10" s="4" t="inlineStr">
        <is>
          <t>All</t>
        </is>
      </c>
      <c r="M10" s="5" t="inlineStr">
        <is>
          <t>Design pack – all screens (docs/design/screens/)</t>
        </is>
      </c>
      <c r="N10" s="4" t="inlineStr">
        <is>
          <t>LS-031</t>
        </is>
      </c>
      <c r="O10" s="4" t="inlineStr">
        <is>
          <t>Blocks: LS-014, LS-015, LS-018, LS-150
Blocked by: LS-031</t>
        </is>
      </c>
      <c r="P10" s="4" t="inlineStr">
        <is>
          <t>1. Every token in design-tokens.json exists exactly once in :core:designsystem
2. No hex literal outside token files (lint/detekt check)
3. Preview sheet shows all swatches</t>
        </is>
      </c>
      <c r="Q10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10" s="4" t="inlineStr">
        <is>
          <t>Shared files: core/designsystem/theme/Color.kt Use tokens, string resources (EN+KN) and AppConfig only.</t>
        </is>
      </c>
      <c r="S10" s="4" t="inlineStr">
        <is>
          <t>Unit: token map completeness test vs JSON · Screenshot: colour swatch preview</t>
        </is>
      </c>
      <c r="T10" s="4" t="inlineStr"/>
      <c r="U10" s="4" t="n">
        <v>3</v>
      </c>
      <c r="V10" s="4" t="inlineStr">
        <is>
          <t>Medium</t>
        </is>
      </c>
      <c r="W10" s="4" t="inlineStr">
        <is>
          <t>Low</t>
        </is>
      </c>
      <c r="X10" s="4" t="inlineStr">
        <is>
          <t>Jetpack Compose UI Engineer</t>
        </is>
      </c>
      <c r="Y10" s="4" t="inlineStr">
        <is>
          <t>After deps</t>
        </is>
      </c>
      <c r="Z10" s="4" t="inlineStr">
        <is>
          <t>High</t>
        </is>
      </c>
      <c r="AA10" s="4" t="inlineStr">
        <is>
          <t>feature/LS-010-colour-tokens-compose-theme</t>
        </is>
      </c>
      <c r="AB10" s="4" t="inlineStr"/>
      <c r="AC10" s="4" t="inlineStr"/>
      <c r="AD10" s="4" t="inlineStr">
        <is>
          <t>To Do</t>
        </is>
      </c>
      <c r="AE10" s="4" t="inlineStr">
        <is>
          <t>Project owner (human)</t>
        </is>
      </c>
      <c r="AF10" s="4" t="inlineStr">
        <is>
          <t>Awaiting Approval C</t>
        </is>
      </c>
      <c r="AG10" s="4" t="inlineStr"/>
      <c r="AH10" s="4" t="inlineStr">
        <is>
          <t>None</t>
        </is>
      </c>
      <c r="AI10" s="4" t="inlineStr">
        <is>
          <t>N/A</t>
        </is>
      </c>
      <c r="AJ10" s="4" t="inlineStr"/>
      <c r="AK10" s="4" t="inlineStr">
        <is>
          <t>NFR-01, NFR-10</t>
        </is>
      </c>
      <c r="AL10" s="22">
        <f>AD10&amp;"|"&amp;COUNTIF(AD$2:AD10,AD10)</f>
        <v/>
      </c>
    </row>
    <row r="11" ht="85" customHeight="1">
      <c r="A11" s="17" t="inlineStr">
        <is>
          <t>LS-011</t>
        </is>
      </c>
      <c r="B11" s="4" t="inlineStr">
        <is>
          <t>Story</t>
        </is>
      </c>
      <c r="C11" s="4" t="inlineStr">
        <is>
          <t>LS-EPIC-02</t>
        </is>
      </c>
      <c r="D11" s="4" t="inlineStr">
        <is>
          <t>Typography: DM Sans + Manrope + Kannada fallback, type scale</t>
        </is>
      </c>
      <c r="E11" s="4" t="inlineStr">
        <is>
          <t>Bundle DM Sans (400–700) and Manrope (500–800) as res/font (OFL – record licence), add Noto Sans Kannada (OFL) fallback, define type scale from design (onboarding 29/1.12, hero 25/1.12, topbar 17/800, reader 16/1.95, chip 12/600, eyebrow 10/800 +1.6, nav 10/600). Kannada line-height adjustments.</t>
        </is>
      </c>
      <c r="F11" s="4" t="inlineStr">
        <is>
          <t>As a Kannada-speaking parent, I want text to render clearly in my script.</t>
        </is>
      </c>
      <c r="G11" s="4" t="inlineStr">
        <is>
          <t>Visual fidelity and consistency</t>
        </is>
      </c>
      <c r="H11" s="4" t="inlineStr">
        <is>
          <t>High</t>
        </is>
      </c>
      <c r="I11" s="4" t="inlineStr">
        <is>
          <t>Must</t>
        </is>
      </c>
      <c r="J11" s="4" t="inlineStr">
        <is>
          <t>P2</t>
        </is>
      </c>
      <c r="K11" s="4" t="inlineStr">
        <is>
          <t>:core:designsystem</t>
        </is>
      </c>
      <c r="L11" s="4" t="inlineStr">
        <is>
          <t>All</t>
        </is>
      </c>
      <c r="M11" s="5" t="inlineStr">
        <is>
          <t>Design pack – all screens (docs/design/screens/)</t>
        </is>
      </c>
      <c r="N11" s="4" t="inlineStr">
        <is>
          <t>LS-031</t>
        </is>
      </c>
      <c r="O11" s="4" t="inlineStr">
        <is>
          <t>Blocks: LS-014, LS-015
Blocked by: LS-031</t>
        </is>
      </c>
      <c r="P11" s="4" t="inlineStr">
        <is>
          <t>1. All text styles from design spec available as theme tokens
2. Kannada renders with correct glyphs in every style
3. Licences listed in Help &amp; about / docs
4. No inline TextStyle in feature code</t>
        </is>
      </c>
      <c r="Q11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11" s="4" t="inlineStr">
        <is>
          <t>Shared files: core/designsystem/theme/Type.kt, res/font Use tokens, string resources (EN+KN) and AppConfig only.</t>
        </is>
      </c>
      <c r="S11" s="4" t="inlineStr">
        <is>
          <t>Screenshot: type specimen EN + KN at font scale 1.0 and 1.5</t>
        </is>
      </c>
      <c r="T11" s="4" t="inlineStr"/>
      <c r="U11" s="4" t="n">
        <v>5</v>
      </c>
      <c r="V11" s="4" t="inlineStr">
        <is>
          <t>High</t>
        </is>
      </c>
      <c r="W11" s="4" t="inlineStr">
        <is>
          <t>Medium</t>
        </is>
      </c>
      <c r="X11" s="4" t="inlineStr">
        <is>
          <t>Jetpack Compose UI Engineer</t>
        </is>
      </c>
      <c r="Y11" s="4" t="inlineStr">
        <is>
          <t>After deps</t>
        </is>
      </c>
      <c r="Z11" s="4" t="inlineStr">
        <is>
          <t>High</t>
        </is>
      </c>
      <c r="AA11" s="4" t="inlineStr">
        <is>
          <t>feature/LS-011-typography-dm-sans-manrope-kannada</t>
        </is>
      </c>
      <c r="AB11" s="4" t="inlineStr"/>
      <c r="AC11" s="4" t="inlineStr"/>
      <c r="AD11" s="4" t="inlineStr">
        <is>
          <t>To Do</t>
        </is>
      </c>
      <c r="AE11" s="4" t="inlineStr">
        <is>
          <t>Project owner (human)</t>
        </is>
      </c>
      <c r="AF11" s="4" t="inlineStr">
        <is>
          <t>Awaiting Approval C</t>
        </is>
      </c>
      <c r="AG11" s="4" t="inlineStr"/>
      <c r="AH11" s="4" t="inlineStr">
        <is>
          <t>Layout risk</t>
        </is>
      </c>
      <c r="AI11" s="4" t="inlineStr">
        <is>
          <t>Missing</t>
        </is>
      </c>
      <c r="AJ11" s="4" t="inlineStr"/>
      <c r="AK11" s="4" t="inlineStr">
        <is>
          <t>NFR-01, NFR-02</t>
        </is>
      </c>
      <c r="AL11" s="22">
        <f>AD11&amp;"|"&amp;COUNTIF(AD$2:AD11,AD11)</f>
        <v/>
      </c>
    </row>
    <row r="12" ht="85" customHeight="1">
      <c r="A12" s="17" t="inlineStr">
        <is>
          <t>LS-012</t>
        </is>
      </c>
      <c r="B12" s="4" t="inlineStr">
        <is>
          <t>Story</t>
        </is>
      </c>
      <c r="C12" s="4" t="inlineStr">
        <is>
          <t>LS-EPIC-02</t>
        </is>
      </c>
      <c r="D12" s="4" t="inlineStr">
        <is>
          <t>Shape, spacing, elevation and motion tokens</t>
        </is>
      </c>
      <c r="E12" s="4" t="inlineStr">
        <is>
          <t>Radii (lg 24, md 18, sm 13, button 16, hero 26, sheet 32 top, chip 20, avatar 15/19), spacing scale, shadows (shadow, soft, primary-button, hero, create-nav), layout constants (topbar 68, bottom nav 76, content padding 20/16 compact), motion durations (twinkle 2.4/1.7/1.1 s, button .18 s, toggle .2 s, progress .2/.3 s).</t>
        </is>
      </c>
      <c r="F12" s="4" t="inlineStr">
        <is>
          <t>–</t>
        </is>
      </c>
      <c r="G12" s="4" t="inlineStr">
        <is>
          <t>Visual fidelity and consistency</t>
        </is>
      </c>
      <c r="H12" s="4" t="inlineStr">
        <is>
          <t>High</t>
        </is>
      </c>
      <c r="I12" s="4" t="inlineStr">
        <is>
          <t>Must</t>
        </is>
      </c>
      <c r="J12" s="4" t="inlineStr">
        <is>
          <t>P2</t>
        </is>
      </c>
      <c r="K12" s="4" t="inlineStr">
        <is>
          <t>:core:designsystem</t>
        </is>
      </c>
      <c r="L12" s="4" t="inlineStr">
        <is>
          <t>All</t>
        </is>
      </c>
      <c r="M12" s="5" t="inlineStr">
        <is>
          <t>Design pack – all screens (docs/design/screens/)</t>
        </is>
      </c>
      <c r="N12" s="4" t="inlineStr">
        <is>
          <t>LS-031</t>
        </is>
      </c>
      <c r="O12" s="4" t="inlineStr">
        <is>
          <t>Blocks: LS-015, LS-018
Blocked by: LS-031</t>
        </is>
      </c>
      <c r="P12" s="4" t="inlineStr">
        <is>
          <t>1. Tokens defined once in designsystem
2. Compact (≤360dp) and tall (≥900dp) variants handled via window size, not hardcoded checks
3. Reduced-motion flag disables infinite twinkle</t>
        </is>
      </c>
      <c r="Q12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12" s="4" t="inlineStr">
        <is>
          <t>Shared files: core/designsystem/theme/Dimens.kt, Shape.kt, Motion.kt Use tokens, string resources (EN+KN) and AppConfig only.</t>
        </is>
      </c>
      <c r="S12" s="4" t="inlineStr">
        <is>
          <t>Unit: token values · Screenshot: spacing/shape preview</t>
        </is>
      </c>
      <c r="T12" s="4" t="inlineStr"/>
      <c r="U12" s="4" t="n">
        <v>3</v>
      </c>
      <c r="V12" s="4" t="inlineStr">
        <is>
          <t>Medium</t>
        </is>
      </c>
      <c r="W12" s="4" t="inlineStr">
        <is>
          <t>Low</t>
        </is>
      </c>
      <c r="X12" s="4" t="inlineStr">
        <is>
          <t>Jetpack Compose UI Engineer</t>
        </is>
      </c>
      <c r="Y12" s="4" t="inlineStr">
        <is>
          <t>After deps</t>
        </is>
      </c>
      <c r="Z12" s="4" t="inlineStr">
        <is>
          <t>High</t>
        </is>
      </c>
      <c r="AA12" s="4" t="inlineStr">
        <is>
          <t>feature/LS-012-shape-spacing-elevation-and-motion</t>
        </is>
      </c>
      <c r="AB12" s="4" t="inlineStr"/>
      <c r="AC12" s="4" t="inlineStr"/>
      <c r="AD12" s="4" t="inlineStr">
        <is>
          <t>To Do</t>
        </is>
      </c>
      <c r="AE12" s="4" t="inlineStr">
        <is>
          <t>Project owner (human)</t>
        </is>
      </c>
      <c r="AF12" s="4" t="inlineStr">
        <is>
          <t>Awaiting Approval C</t>
        </is>
      </c>
      <c r="AG12" s="4" t="inlineStr"/>
      <c r="AH12" s="4" t="inlineStr">
        <is>
          <t>None</t>
        </is>
      </c>
      <c r="AI12" s="4" t="inlineStr">
        <is>
          <t>N/A</t>
        </is>
      </c>
      <c r="AJ12" s="4" t="inlineStr"/>
      <c r="AK12" s="4" t="inlineStr">
        <is>
          <t>NFR-01, NFR-04</t>
        </is>
      </c>
      <c r="AL12" s="22">
        <f>AD12&amp;"|"&amp;COUNTIF(AD$2:AD12,AD12)</f>
        <v/>
      </c>
    </row>
    <row r="13" ht="85" customHeight="1">
      <c r="A13" s="17" t="inlineStr">
        <is>
          <t>LS-013</t>
        </is>
      </c>
      <c r="B13" s="4" t="inlineStr">
        <is>
          <t>Story</t>
        </is>
      </c>
      <c r="C13" s="4" t="inlineStr">
        <is>
          <t>LS-EPIC-02</t>
        </is>
      </c>
      <c r="D13" s="4" t="inlineStr">
        <is>
          <t>Icon set (21 line icons) as vector drawables</t>
        </is>
      </c>
      <c r="E13" s="4" t="inlineStr">
        <is>
          <t>Recreate icons home, compass, plus, book, user, bell, search, heart, download, play, pause, back, chevron, clock, check, close, edit, moon, settings, volume (24×24, 1.8 stroke, round caps) + filled variants for active heart/download. Add proper rewind-15/forward-15 icons (replaces overlapping glyphs).</t>
        </is>
      </c>
      <c r="F13" s="4" t="inlineStr">
        <is>
          <t>–</t>
        </is>
      </c>
      <c r="G13" s="4" t="inlineStr">
        <is>
          <t>Visual fidelity and consistency</t>
        </is>
      </c>
      <c r="H13" s="4" t="inlineStr">
        <is>
          <t>Medium</t>
        </is>
      </c>
      <c r="I13" s="4" t="inlineStr">
        <is>
          <t>Must</t>
        </is>
      </c>
      <c r="J13" s="4" t="inlineStr">
        <is>
          <t>P2</t>
        </is>
      </c>
      <c r="K13" s="4" t="inlineStr">
        <is>
          <t>:core:designsystem</t>
        </is>
      </c>
      <c r="L13" s="4" t="inlineStr">
        <is>
          <t>All</t>
        </is>
      </c>
      <c r="M13" s="5" t="inlineStr">
        <is>
          <t>Design pack – all screens (docs/design/screens/)</t>
        </is>
      </c>
      <c r="N13" s="4" t="inlineStr">
        <is>
          <t>LS-031</t>
        </is>
      </c>
      <c r="O13" s="4" t="inlineStr">
        <is>
          <t>Blocks: LS-019, LS-094
Blocked by: LS-031</t>
        </is>
      </c>
      <c r="P13" s="4" t="inlineStr">
        <is>
          <t>1. All icons in res/drawable with consistent naming ic_*
2. Auto-mirroring set where directional (back, chevron) for RTL
3. Icon catalogue preview</t>
        </is>
      </c>
      <c r="Q13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13" s="4" t="inlineStr">
        <is>
          <t>Use tokens, string resources (EN+KN) and AppConfig only.</t>
        </is>
      </c>
      <c r="S13" s="4" t="inlineStr">
        <is>
          <t>Screenshot: icon catalogue</t>
        </is>
      </c>
      <c r="T13" s="4" t="inlineStr"/>
      <c r="U13" s="4" t="n">
        <v>3</v>
      </c>
      <c r="V13" s="4" t="inlineStr">
        <is>
          <t>Medium</t>
        </is>
      </c>
      <c r="W13" s="4" t="inlineStr">
        <is>
          <t>Low</t>
        </is>
      </c>
      <c r="X13" s="4" t="inlineStr">
        <is>
          <t>Jetpack Compose UI Engineer</t>
        </is>
      </c>
      <c r="Y13" s="4" t="inlineStr">
        <is>
          <t>Yes</t>
        </is>
      </c>
      <c r="Z13" s="4" t="inlineStr">
        <is>
          <t>Low</t>
        </is>
      </c>
      <c r="AA13" s="4" t="inlineStr">
        <is>
          <t>feature/LS-013-icon-set-21-line-icons</t>
        </is>
      </c>
      <c r="AB13" s="4" t="inlineStr"/>
      <c r="AC13" s="4" t="inlineStr"/>
      <c r="AD13" s="4" t="inlineStr">
        <is>
          <t>To Do</t>
        </is>
      </c>
      <c r="AE13" s="4" t="inlineStr">
        <is>
          <t>Project owner (human)</t>
        </is>
      </c>
      <c r="AF13" s="4" t="inlineStr">
        <is>
          <t>Awaiting Approval C</t>
        </is>
      </c>
      <c r="AG13" s="4" t="inlineStr"/>
      <c r="AH13" s="4" t="inlineStr">
        <is>
          <t>None</t>
        </is>
      </c>
      <c r="AI13" s="4" t="inlineStr">
        <is>
          <t>N/A</t>
        </is>
      </c>
      <c r="AJ13" s="4" t="inlineStr"/>
      <c r="AK13" s="4" t="inlineStr">
        <is>
          <t>NFR-10</t>
        </is>
      </c>
      <c r="AL13" s="22">
        <f>AD13&amp;"|"&amp;COUNTIF(AD$2:AD13,AD13)</f>
        <v/>
      </c>
    </row>
    <row r="14" ht="125.5" customHeight="1">
      <c r="A14" s="17" t="inlineStr">
        <is>
          <t>LS-014</t>
        </is>
      </c>
      <c r="B14" s="4" t="inlineStr">
        <is>
          <t>Story</t>
        </is>
      </c>
      <c r="C14" s="4" t="inlineStr">
        <is>
          <t>LS-EPIC-02</t>
        </is>
      </c>
      <c r="D14" s="4" t="inlineStr">
        <is>
          <t>LittleStory brand mark composable (default + light)</t>
        </is>
      </c>
      <c r="E14" s="4" t="inlineStr">
        <is>
          <t>Rebuild the CSS logo symbol (skewed book outline, inner L curve, crescent, yellow ✦) + 'LittleStory' wordmark (Manrope 800, 18sp). Replace all 'LittleKatha' references. Wordmark text from string resource.</t>
        </is>
      </c>
      <c r="F14" s="4" t="inlineStr">
        <is>
          <t>–</t>
        </is>
      </c>
      <c r="G14" s="4" t="inlineStr">
        <is>
          <t>Visual fidelity and consistency</t>
        </is>
      </c>
      <c r="H14" s="4" t="inlineStr">
        <is>
          <t>Medium</t>
        </is>
      </c>
      <c r="I14" s="4" t="inlineStr">
        <is>
          <t>Must</t>
        </is>
      </c>
      <c r="J14" s="4" t="inlineStr">
        <is>
          <t>P2</t>
        </is>
      </c>
      <c r="K14" s="4" t="inlineStr">
        <is>
          <t>:core:designsystem</t>
        </is>
      </c>
      <c r="L14" s="5" t="inlineStr">
        <is>
          <t>SCR-01, SCR-03, SCR-04a, SCR-12, SCR-13</t>
        </is>
      </c>
      <c r="M14" s="5" t="inlineStr">
        <is>
          <t>SCR-01 Onboarding (3 slides) → 01-onboarding-1-every-day-has-a-story.jpg, 02-onboarding-2-your-child-the-hero.jpg, 03-onboarding-3-listen-dream-repeat.jpg
SCR-03 Home → 05-home.jpg
SCR-04a Discover → 06-discover.jpg
SCR-12 My Stories → 14-my-stories.jpg
SCR-13 Profile (settings hub) → 15-profile-settings.jpg</t>
        </is>
      </c>
      <c r="N14" s="4" t="inlineStr">
        <is>
          <t>LS-010, LS-011</t>
        </is>
      </c>
      <c r="O14" s="4" t="inlineStr">
        <is>
          <t>Blocks: LS-060
Blocked by: LS-010, LS-011</t>
        </is>
      </c>
      <c r="P14" s="4" t="inlineStr">
        <is>
          <t>1. Brand mark matches screenshot geometry with new name
2. Light variant for night backgrounds
3. No 'LittleKatha' anywhere in code/resources</t>
        </is>
      </c>
      <c r="Q14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14" s="4" t="inlineStr">
        <is>
          <t>Use tokens, string resources (EN+KN) and AppConfig only.</t>
        </is>
      </c>
      <c r="S14" s="4" t="inlineStr">
        <is>
          <t>Screenshot: brand mark default/light</t>
        </is>
      </c>
      <c r="T14" s="4" t="inlineStr"/>
      <c r="U14" s="4" t="n">
        <v>2</v>
      </c>
      <c r="V14" s="4" t="inlineStr">
        <is>
          <t>Low</t>
        </is>
      </c>
      <c r="W14" s="4" t="inlineStr">
        <is>
          <t>Low</t>
        </is>
      </c>
      <c r="X14" s="4" t="inlineStr">
        <is>
          <t>Jetpack Compose UI Engineer</t>
        </is>
      </c>
      <c r="Y14" s="4" t="inlineStr">
        <is>
          <t>Yes</t>
        </is>
      </c>
      <c r="Z14" s="4" t="inlineStr">
        <is>
          <t>Low</t>
        </is>
      </c>
      <c r="AA14" s="4" t="inlineStr">
        <is>
          <t>feature/LS-014-littlestory-brand-mark-composable-default</t>
        </is>
      </c>
      <c r="AB14" s="4" t="inlineStr"/>
      <c r="AC14" s="4" t="inlineStr"/>
      <c r="AD14" s="4" t="inlineStr">
        <is>
          <t>To Do</t>
        </is>
      </c>
      <c r="AE14" s="4" t="inlineStr">
        <is>
          <t>Project owner (human)</t>
        </is>
      </c>
      <c r="AF14" s="4" t="inlineStr">
        <is>
          <t>Awaiting Approval C</t>
        </is>
      </c>
      <c r="AG14" s="4" t="inlineStr"/>
      <c r="AH14" s="4" t="inlineStr">
        <is>
          <t>New strings</t>
        </is>
      </c>
      <c r="AI14" s="4" t="inlineStr">
        <is>
          <t>Missing</t>
        </is>
      </c>
      <c r="AJ14" s="4" t="inlineStr">
        <is>
          <t>Screenshots still show LittleKatha (pre-rename).</t>
        </is>
      </c>
      <c r="AK14" s="4" t="inlineStr"/>
      <c r="AL14" s="22">
        <f>AD14&amp;"|"&amp;COUNTIF(AD$2:AD14,AD14)</f>
        <v/>
      </c>
    </row>
    <row r="15" ht="85" customHeight="1">
      <c r="A15" s="17" t="inlineStr">
        <is>
          <t>LS-015</t>
        </is>
      </c>
      <c r="B15" s="4" t="inlineStr">
        <is>
          <t>Story</t>
        </is>
      </c>
      <c r="C15" s="4" t="inlineStr">
        <is>
          <t>LS-EPIC-02</t>
        </is>
      </c>
      <c r="D15" s="4" t="inlineStr">
        <is>
          <t>Buttons and IconButton components</t>
        </is>
      </c>
      <c r="E15" s="4" t="inlineStr">
        <is>
          <t>Button primary/secondary/ghost (52dp, radius 16, optional leading icon, press scale .98, disabled 45%), IconButton 42dp visual with ≥48dp touch target, active favourite style (#9D3158 on #FFEDF2).</t>
        </is>
      </c>
      <c r="F15" s="4" t="inlineStr">
        <is>
          <t>–</t>
        </is>
      </c>
      <c r="G15" s="4" t="inlineStr">
        <is>
          <t>Visual fidelity and consistency</t>
        </is>
      </c>
      <c r="H15" s="4" t="inlineStr">
        <is>
          <t>High</t>
        </is>
      </c>
      <c r="I15" s="4" t="inlineStr">
        <is>
          <t>Must</t>
        </is>
      </c>
      <c r="J15" s="4" t="inlineStr">
        <is>
          <t>P2</t>
        </is>
      </c>
      <c r="K15" s="4" t="inlineStr">
        <is>
          <t>:core:designsystem</t>
        </is>
      </c>
      <c r="L15" s="4" t="inlineStr">
        <is>
          <t>All</t>
        </is>
      </c>
      <c r="M15" s="5" t="inlineStr">
        <is>
          <t>Design pack – all screens (docs/design/screens/)</t>
        </is>
      </c>
      <c r="N15" s="4" t="inlineStr">
        <is>
          <t>LS-010, LS-011, LS-012</t>
        </is>
      </c>
      <c r="O15" s="4" t="inlineStr">
        <is>
          <t>Blocks: LS-016, LS-017, LS-018, LS-019, LS-020
Blocked by: LS-010, LS-011, LS-012</t>
        </is>
      </c>
      <c r="P15" s="4" t="inlineStr">
        <is>
          <t>1. All variants + disabled + pressed previews
2. Touch target ≥48dp
3. contentDescription required parameter for IconButton</t>
        </is>
      </c>
      <c r="Q15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15" s="4" t="inlineStr">
        <is>
          <t>Use tokens, string resources (EN+KN) and AppConfig only.</t>
        </is>
      </c>
      <c r="S15" s="4" t="inlineStr">
        <is>
          <t>Compose UI test: click/disabled · Screenshot EN/KN long label</t>
        </is>
      </c>
      <c r="T15" s="4" t="inlineStr"/>
      <c r="U15" s="4" t="n">
        <v>3</v>
      </c>
      <c r="V15" s="4" t="inlineStr">
        <is>
          <t>Medium</t>
        </is>
      </c>
      <c r="W15" s="4" t="inlineStr">
        <is>
          <t>Low</t>
        </is>
      </c>
      <c r="X15" s="4" t="inlineStr">
        <is>
          <t>Jetpack Compose UI Engineer</t>
        </is>
      </c>
      <c r="Y15" s="4" t="inlineStr">
        <is>
          <t>After deps</t>
        </is>
      </c>
      <c r="Z15" s="4" t="inlineStr">
        <is>
          <t>Low</t>
        </is>
      </c>
      <c r="AA15" s="4" t="inlineStr">
        <is>
          <t>feature/LS-015-buttons-and-iconbutton-components</t>
        </is>
      </c>
      <c r="AB15" s="4" t="inlineStr"/>
      <c r="AC15" s="4" t="inlineStr"/>
      <c r="AD15" s="4" t="inlineStr">
        <is>
          <t>To Do</t>
        </is>
      </c>
      <c r="AE15" s="4" t="inlineStr">
        <is>
          <t>Project owner (human)</t>
        </is>
      </c>
      <c r="AF15" s="4" t="inlineStr">
        <is>
          <t>Awaiting Approval C</t>
        </is>
      </c>
      <c r="AG15" s="4" t="inlineStr"/>
      <c r="AH15" s="4" t="inlineStr">
        <is>
          <t>None</t>
        </is>
      </c>
      <c r="AI15" s="4" t="inlineStr">
        <is>
          <t>N/A</t>
        </is>
      </c>
      <c r="AJ15" s="4" t="inlineStr"/>
      <c r="AK15" s="4" t="inlineStr">
        <is>
          <t>NFR-04</t>
        </is>
      </c>
      <c r="AL15" s="22">
        <f>AD15&amp;"|"&amp;COUNTIF(AD$2:AD15,AD15)</f>
        <v/>
      </c>
    </row>
    <row r="16" ht="139" customHeight="1">
      <c r="A16" s="17" t="inlineStr">
        <is>
          <t>LS-016</t>
        </is>
      </c>
      <c r="B16" s="4" t="inlineStr">
        <is>
          <t>Story</t>
        </is>
      </c>
      <c r="C16" s="4" t="inlineStr">
        <is>
          <t>LS-EPIC-02</t>
        </is>
      </c>
      <c r="D16" s="4" t="inlineStr">
        <is>
          <t>Form components: text field, select, chips, segmented, toggle, search, tabs</t>
        </is>
      </c>
      <c r="E16" s="4" t="inlineStr">
        <is>
          <t>Form card inputs (48dp, radius 13, lavender focus ring), dropdown select, chips single/multi (selected = soft-lavender + check), segmented control, toggle switch (43×25 visual, role switch), search field with clear, pill tabs.</t>
        </is>
      </c>
      <c r="F16" s="4" t="inlineStr">
        <is>
          <t>–</t>
        </is>
      </c>
      <c r="G16" s="4" t="inlineStr">
        <is>
          <t>Visual fidelity and consistency</t>
        </is>
      </c>
      <c r="H16" s="4" t="inlineStr">
        <is>
          <t>High</t>
        </is>
      </c>
      <c r="I16" s="4" t="inlineStr">
        <is>
          <t>Must</t>
        </is>
      </c>
      <c r="J16" s="4" t="inlineStr">
        <is>
          <t>P2</t>
        </is>
      </c>
      <c r="K16" s="4" t="inlineStr">
        <is>
          <t>:core:designsystem</t>
        </is>
      </c>
      <c r="L16" s="5" t="inlineStr">
        <is>
          <t>SCR-02, SCR-04a, SCR-07, SCR-12, SCR-13, SCR-16</t>
        </is>
      </c>
      <c r="M16" s="5" t="inlineStr">
        <is>
          <t>SCR-02 Setup – Child profile → 04-setup-profile.jpg
SCR-04a Discover → 06-discover.jpg
SCR-07 Create a Story → 07-create-story.jpg, 08-create-story-more-options-and-error.jpg
SCR-12 My Stories → 14-my-stories.jpg
SCR-13 Profile (settings hub) → 15-profile-settings.jpg
SCR-16 Bedtime Reminder → 17-bedtime-reminder.jpg</t>
        </is>
      </c>
      <c r="N16" s="4" t="inlineStr">
        <is>
          <t>LS-015</t>
        </is>
      </c>
      <c r="O16" s="4" t="inlineStr">
        <is>
          <t>Blocks: LS-020, LS-061, LS-071, LS-080, LS-100, LS-110
Blocked by: LS-015</t>
        </is>
      </c>
      <c r="P16" s="4" t="inlineStr">
        <is>
          <t>1. Each component exposes selected/checked semantics
2. Focus states visible
3. Long Kannada labels wrap/scroll without clipping</t>
        </is>
      </c>
      <c r="Q16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16" s="4" t="inlineStr">
        <is>
          <t>Use tokens, string resources (EN+KN) and AppConfig only.</t>
        </is>
      </c>
      <c r="S16" s="4" t="inlineStr">
        <is>
          <t>Compose UI tests for state changes · Screenshot EN/KN</t>
        </is>
      </c>
      <c r="T16" s="4" t="inlineStr"/>
      <c r="U16" s="4" t="n">
        <v>5</v>
      </c>
      <c r="V16" s="4" t="inlineStr">
        <is>
          <t>High</t>
        </is>
      </c>
      <c r="W16" s="4" t="inlineStr">
        <is>
          <t>Low</t>
        </is>
      </c>
      <c r="X16" s="4" t="inlineStr">
        <is>
          <t>Jetpack Compose UI Engineer</t>
        </is>
      </c>
      <c r="Y16" s="4" t="inlineStr">
        <is>
          <t>After deps</t>
        </is>
      </c>
      <c r="Z16" s="4" t="inlineStr">
        <is>
          <t>Low</t>
        </is>
      </c>
      <c r="AA16" s="4" t="inlineStr">
        <is>
          <t>feature/LS-016-form-components-text-field-select</t>
        </is>
      </c>
      <c r="AB16" s="4" t="inlineStr"/>
      <c r="AC16" s="4" t="inlineStr"/>
      <c r="AD16" s="4" t="inlineStr">
        <is>
          <t>To Do</t>
        </is>
      </c>
      <c r="AE16" s="4" t="inlineStr">
        <is>
          <t>Project owner (human)</t>
        </is>
      </c>
      <c r="AF16" s="4" t="inlineStr">
        <is>
          <t>Awaiting Approval C</t>
        </is>
      </c>
      <c r="AG16" s="4" t="inlineStr"/>
      <c r="AH16" s="4" t="inlineStr">
        <is>
          <t>Layout risk</t>
        </is>
      </c>
      <c r="AI16" s="4" t="inlineStr">
        <is>
          <t>Missing</t>
        </is>
      </c>
      <c r="AJ16" s="4" t="inlineStr"/>
      <c r="AK16" s="4" t="inlineStr">
        <is>
          <t>NFR-04</t>
        </is>
      </c>
      <c r="AL16" s="22">
        <f>AD16&amp;"|"&amp;COUNTIF(AD$2:AD16,AD16)</f>
        <v/>
      </c>
    </row>
    <row r="17" ht="179.5" customHeight="1">
      <c r="A17" s="17" t="inlineStr">
        <is>
          <t>LS-017</t>
        </is>
      </c>
      <c r="B17" s="4" t="inlineStr">
        <is>
          <t>Story</t>
        </is>
      </c>
      <c r="C17" s="4" t="inlineStr">
        <is>
          <t>LS-EPIC-02</t>
        </is>
      </c>
      <c r="D17" s="4" t="inlineStr">
        <is>
          <t>Feedback components: bottom sheet, dialog, toast, empty state, notes banner, progress bars</t>
        </is>
      </c>
      <c r="E17" s="4" t="inlineStr">
        <is>
          <t>Bottom sheet (handle, rows, cancel, dim overlay), centred dialog with success icon, toast/snackbar, empty state, green trust/notes banner, progress bars (reading 3dp, generation gradient, playback slider, storage).</t>
        </is>
      </c>
      <c r="F17" s="4" t="inlineStr">
        <is>
          <t>–</t>
        </is>
      </c>
      <c r="G17" s="4" t="inlineStr">
        <is>
          <t>Visual fidelity and consistency</t>
        </is>
      </c>
      <c r="H17" s="4" t="inlineStr">
        <is>
          <t>High</t>
        </is>
      </c>
      <c r="I17" s="4" t="inlineStr">
        <is>
          <t>Must</t>
        </is>
      </c>
      <c r="J17" s="4" t="inlineStr">
        <is>
          <t>P2</t>
        </is>
      </c>
      <c r="K17" s="4" t="inlineStr">
        <is>
          <t>:core:designsystem</t>
        </is>
      </c>
      <c r="L17" s="5" t="inlineStr">
        <is>
          <t>SCR-04b, SCR-08, SCR-11b, SCR-12, SCR-15, SCR-16, SCR-17</t>
        </is>
      </c>
      <c r="M17" s="5" t="inlineStr">
        <is>
          <t>SCR-04b Discover – No results (empty state) → 06-discover.jpg
SCR-08 Generating + Paused → 09-generating.jpg
SCR-11b Player – Sleep timer sheet → 13-player-sleep-timer-sheet.jpg
SCR-12 My Stories → 14-my-stories.jpg
SCR-15 Subscription (demo) + dialog → 16-subscription.jpg
SCR-16 Bedtime Reminder → 17-bedtime-reminder.jpg
SCR-17 Offline Downloads → 18-offline-downloads.jpg</t>
        </is>
      </c>
      <c r="N17" s="4" t="inlineStr">
        <is>
          <t>LS-015</t>
        </is>
      </c>
      <c r="O17" s="4" t="inlineStr">
        <is>
          <t>Blocks: LS-020, LS-060, LS-072, LS-083, LS-092, LS-101, LS-113
Blocked by: LS-015</t>
        </is>
      </c>
      <c r="P17" s="4" t="inlineStr">
        <is>
          <t>1. Sheet/dialog trap focus and dismiss on back
2. Toast duration from config
3. Progress exposes progress semantics</t>
        </is>
      </c>
      <c r="Q17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17" s="4" t="inlineStr">
        <is>
          <t>Use tokens, string resources (EN+KN) and AppConfig only.</t>
        </is>
      </c>
      <c r="S17" s="4" t="inlineStr">
        <is>
          <t>Compose UI tests · Screenshot EN/KN</t>
        </is>
      </c>
      <c r="T17" s="4" t="inlineStr"/>
      <c r="U17" s="4" t="n">
        <v>5</v>
      </c>
      <c r="V17" s="4" t="inlineStr">
        <is>
          <t>High</t>
        </is>
      </c>
      <c r="W17" s="4" t="inlineStr">
        <is>
          <t>Low</t>
        </is>
      </c>
      <c r="X17" s="4" t="inlineStr">
        <is>
          <t>Jetpack Compose UI Engineer</t>
        </is>
      </c>
      <c r="Y17" s="4" t="inlineStr">
        <is>
          <t>After deps</t>
        </is>
      </c>
      <c r="Z17" s="4" t="inlineStr">
        <is>
          <t>Low</t>
        </is>
      </c>
      <c r="AA17" s="4" t="inlineStr">
        <is>
          <t>feature/LS-017-feedback-components-bottom-sheet-dialog</t>
        </is>
      </c>
      <c r="AB17" s="4" t="inlineStr"/>
      <c r="AC17" s="4" t="inlineStr"/>
      <c r="AD17" s="4" t="inlineStr">
        <is>
          <t>To Do</t>
        </is>
      </c>
      <c r="AE17" s="4" t="inlineStr">
        <is>
          <t>Project owner (human)</t>
        </is>
      </c>
      <c r="AF17" s="4" t="inlineStr">
        <is>
          <t>Awaiting Approval C</t>
        </is>
      </c>
      <c r="AG17" s="4" t="inlineStr"/>
      <c r="AH17" s="4" t="inlineStr">
        <is>
          <t>None</t>
        </is>
      </c>
      <c r="AI17" s="4" t="inlineStr">
        <is>
          <t>N/A</t>
        </is>
      </c>
      <c r="AJ17" s="4" t="inlineStr"/>
      <c r="AK17" s="4" t="inlineStr">
        <is>
          <t>NFR-04</t>
        </is>
      </c>
      <c r="AL17" s="22">
        <f>AD17&amp;"|"&amp;COUNTIF(AD$2:AD17,AD17)</f>
        <v/>
      </c>
    </row>
    <row r="18" ht="152.5" customHeight="1">
      <c r="A18" s="17" t="inlineStr">
        <is>
          <t>LS-018</t>
        </is>
      </c>
      <c r="B18" s="4" t="inlineStr">
        <is>
          <t>Story</t>
        </is>
      </c>
      <c r="C18" s="4" t="inlineStr">
        <is>
          <t>LS-EPIC-02</t>
        </is>
      </c>
      <c r="D18" s="4" t="inlineStr">
        <is>
          <t>Story components: StoryArt, StoryCard, ListStoryRow, ContinueCard, SectionHeader, Avatar</t>
        </is>
      </c>
      <c r="E18" s="4" t="inlineStr">
        <is>
          <t>StoryArt drawn in Compose (gradient 145°, crescent moon, stars, hill, figure + motifs elephant/cricket/moon/forest/space/festival) driven by story data; StoryCard (2 sizes), ListStoryRow, ContinueCard, SectionHeader, CSS-style Avatar with selected outline.</t>
        </is>
      </c>
      <c r="F18" s="4" t="inlineStr">
        <is>
          <t>–</t>
        </is>
      </c>
      <c r="G18" s="4" t="inlineStr">
        <is>
          <t>Visual fidelity and consistency</t>
        </is>
      </c>
      <c r="H18" s="4" t="inlineStr">
        <is>
          <t>High</t>
        </is>
      </c>
      <c r="I18" s="4" t="inlineStr">
        <is>
          <t>Must</t>
        </is>
      </c>
      <c r="J18" s="4" t="inlineStr">
        <is>
          <t>P2</t>
        </is>
      </c>
      <c r="K18" s="4" t="inlineStr">
        <is>
          <t>:core:ui</t>
        </is>
      </c>
      <c r="L18" s="5" t="inlineStr">
        <is>
          <t>SCR-03, SCR-04a, SCR-05, SCR-06, SCR-09, SCR-10, SCR-11a, SCR-12, SCR-17</t>
        </is>
      </c>
      <c r="M18" s="5" t="inlineStr">
        <is>
          <t>SCR-03 Home → 05-home.jpg
SCR-04a Discover → 06-discover.jpg
SCR-05 Category (Indian Tales) → 21-category-indian-tales.jpg
SCR-06 Story Detail → 22-story-detail.jpg
SCR-09 Story Ready → 10-story-ready.jpg
SCR-10 Reader → 11-reader.jpg
SCR-11a Player → 12-player.jpg
SCR-12 My Stories → 14-my-stories.jpg
SCR-17 Offline Downloads → 18-offline-downloads.jpg</t>
        </is>
      </c>
      <c r="N18" s="4" t="inlineStr">
        <is>
          <t>LS-010, LS-012, LS-015</t>
        </is>
      </c>
      <c r="O18" s="4" t="inlineStr">
        <is>
          <t>Blocks: LS-020, LS-070, LS-071, LS-073, LS-074, LS-084, LS-090, LS-092, LS-100, LS-101
Blocked by: LS-010, LS-012, LS-015</t>
        </is>
      </c>
      <c r="P18" s="4" t="inlineStr">
        <is>
          <t>1. All six motifs render matching screenshots
2. Art colours come from tokens/story data, not literals
3. Cards announce title, category, duration, favourite state</t>
        </is>
      </c>
      <c r="Q18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18" s="4" t="inlineStr">
        <is>
          <t>Use tokens, string resources (EN+KN) and AppConfig only.</t>
        </is>
      </c>
      <c r="S18" s="4" t="inlineStr">
        <is>
          <t>Screenshot: each motif + card variants EN/KN long title</t>
        </is>
      </c>
      <c r="T18" s="4" t="inlineStr"/>
      <c r="U18" s="4" t="n">
        <v>8</v>
      </c>
      <c r="V18" s="4" t="inlineStr">
        <is>
          <t>Very High</t>
        </is>
      </c>
      <c r="W18" s="4" t="inlineStr">
        <is>
          <t>Medium</t>
        </is>
      </c>
      <c r="X18" s="4" t="inlineStr">
        <is>
          <t>Jetpack Compose UI Engineer</t>
        </is>
      </c>
      <c r="Y18" s="4" t="inlineStr">
        <is>
          <t>After deps</t>
        </is>
      </c>
      <c r="Z18" s="4" t="inlineStr">
        <is>
          <t>Low</t>
        </is>
      </c>
      <c r="AA18" s="4" t="inlineStr">
        <is>
          <t>feature/LS-018-story-components-storyart-storycard-liststoryrow</t>
        </is>
      </c>
      <c r="AB18" s="4" t="inlineStr"/>
      <c r="AC18" s="4" t="inlineStr"/>
      <c r="AD18" s="4" t="inlineStr">
        <is>
          <t>To Do</t>
        </is>
      </c>
      <c r="AE18" s="4" t="inlineStr">
        <is>
          <t>Project owner (human)</t>
        </is>
      </c>
      <c r="AF18" s="4" t="inlineStr">
        <is>
          <t>Awaiting Approval C</t>
        </is>
      </c>
      <c r="AG18" s="4" t="inlineStr"/>
      <c r="AH18" s="4" t="inlineStr">
        <is>
          <t>Layout risk</t>
        </is>
      </c>
      <c r="AI18" s="4" t="inlineStr">
        <is>
          <t>Missing</t>
        </is>
      </c>
      <c r="AJ18" s="4" t="inlineStr">
        <is>
          <t>ADR-010 (Canvas vs vector).</t>
        </is>
      </c>
      <c r="AK18" s="4" t="inlineStr">
        <is>
          <t>NFR-10</t>
        </is>
      </c>
      <c r="AL18" s="22">
        <f>AD18&amp;"|"&amp;COUNTIF(AD$2:AD18,AD18)</f>
        <v/>
      </c>
    </row>
    <row r="19" ht="85" customHeight="1">
      <c r="A19" s="17" t="inlineStr">
        <is>
          <t>LS-019</t>
        </is>
      </c>
      <c r="B19" s="4" t="inlineStr">
        <is>
          <t>Story</t>
        </is>
      </c>
      <c r="C19" s="4" t="inlineStr">
        <is>
          <t>LS-EPIC-02</t>
        </is>
      </c>
      <c r="D19" s="4" t="inlineStr">
        <is>
          <t>Navigation chrome: TopBar, BottomNav, sticky action bars</t>
        </is>
      </c>
      <c r="E19" s="4" t="inlineStr">
        <is>
          <t>TopBar (back or brand, centred title, right action, 68dp), BottomNav 5 tabs with active pill and raised Create tile (48×40, 5dp ring), sticky single/dual action bars, window insets.</t>
        </is>
      </c>
      <c r="F19" s="4" t="inlineStr">
        <is>
          <t>–</t>
        </is>
      </c>
      <c r="G19" s="4" t="inlineStr">
        <is>
          <t>Visual fidelity and consistency</t>
        </is>
      </c>
      <c r="H19" s="4" t="inlineStr">
        <is>
          <t>High</t>
        </is>
      </c>
      <c r="I19" s="4" t="inlineStr">
        <is>
          <t>Must</t>
        </is>
      </c>
      <c r="J19" s="4" t="inlineStr">
        <is>
          <t>P2</t>
        </is>
      </c>
      <c r="K19" s="4" t="inlineStr">
        <is>
          <t>:core:ui</t>
        </is>
      </c>
      <c r="L19" s="4" t="inlineStr">
        <is>
          <t>All</t>
        </is>
      </c>
      <c r="M19" s="5" t="inlineStr">
        <is>
          <t>Design pack – all screens (docs/design/screens/)</t>
        </is>
      </c>
      <c r="N19" s="4" t="inlineStr">
        <is>
          <t>LS-013, LS-015</t>
        </is>
      </c>
      <c r="O19" s="4" t="inlineStr">
        <is>
          <t>Blocks: LS-020, LS-050
Blocked by: LS-013, LS-015</t>
        </is>
      </c>
      <c r="P19" s="4" t="inlineStr">
        <is>
          <t>1. BottomNav labels fit in Kannada at 10sp (or approved fallback)
2. Insets correct with edge-to-edge
3. Selected tab announced</t>
        </is>
      </c>
      <c r="Q19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19" s="4" t="inlineStr">
        <is>
          <t>Use tokens, string resources (EN+KN) and AppConfig only.</t>
        </is>
      </c>
      <c r="S19" s="4" t="inlineStr">
        <is>
          <t>Screenshot EN/KN · UI test tab selection</t>
        </is>
      </c>
      <c r="T19" s="4" t="inlineStr"/>
      <c r="U19" s="4" t="n">
        <v>3</v>
      </c>
      <c r="V19" s="4" t="inlineStr">
        <is>
          <t>Medium</t>
        </is>
      </c>
      <c r="W19" s="4" t="inlineStr">
        <is>
          <t>Low</t>
        </is>
      </c>
      <c r="X19" s="4" t="inlineStr">
        <is>
          <t>Jetpack Compose UI Engineer</t>
        </is>
      </c>
      <c r="Y19" s="4" t="inlineStr">
        <is>
          <t>After deps</t>
        </is>
      </c>
      <c r="Z19" s="4" t="inlineStr">
        <is>
          <t>Medium</t>
        </is>
      </c>
      <c r="AA19" s="4" t="inlineStr">
        <is>
          <t>feature/LS-019-navigation-chrome-topbar-bottomnav-sticky</t>
        </is>
      </c>
      <c r="AB19" s="4" t="inlineStr"/>
      <c r="AC19" s="4" t="inlineStr"/>
      <c r="AD19" s="4" t="inlineStr">
        <is>
          <t>To Do</t>
        </is>
      </c>
      <c r="AE19" s="4" t="inlineStr">
        <is>
          <t>Project owner (human)</t>
        </is>
      </c>
      <c r="AF19" s="4" t="inlineStr">
        <is>
          <t>Awaiting Approval C</t>
        </is>
      </c>
      <c r="AG19" s="4" t="inlineStr"/>
      <c r="AH19" s="4" t="inlineStr">
        <is>
          <t>Layout risk</t>
        </is>
      </c>
      <c r="AI19" s="4" t="inlineStr">
        <is>
          <t>Missing</t>
        </is>
      </c>
      <c r="AJ19" s="4" t="inlineStr"/>
      <c r="AK19" s="4" t="inlineStr">
        <is>
          <t>NFR-04</t>
        </is>
      </c>
      <c r="AL19" s="22">
        <f>AD19&amp;"|"&amp;COUNTIF(AD$2:AD19,AD19)</f>
        <v/>
      </c>
    </row>
    <row r="20" ht="85" customHeight="1">
      <c r="A20" s="17" t="inlineStr">
        <is>
          <t>LS-020</t>
        </is>
      </c>
      <c r="B20" s="4" t="inlineStr">
        <is>
          <t>Task</t>
        </is>
      </c>
      <c r="C20" s="4" t="inlineStr">
        <is>
          <t>LS-EPIC-02</t>
        </is>
      </c>
      <c r="D20" s="4" t="inlineStr">
        <is>
          <t>Design-system catalogue &amp; screenshot baselines (EN/KN)</t>
        </is>
      </c>
      <c r="E20" s="4" t="inlineStr">
        <is>
          <t>Preview catalogue screen (debug only) + screenshot baselines for all components in EN, KN and pseudo-locale.</t>
        </is>
      </c>
      <c r="F20" s="4" t="inlineStr">
        <is>
          <t>–</t>
        </is>
      </c>
      <c r="G20" s="4" t="inlineStr">
        <is>
          <t>Visual fidelity and consistency</t>
        </is>
      </c>
      <c r="H20" s="4" t="inlineStr">
        <is>
          <t>Medium</t>
        </is>
      </c>
      <c r="I20" s="4" t="inlineStr">
        <is>
          <t>Should</t>
        </is>
      </c>
      <c r="J20" s="4" t="inlineStr">
        <is>
          <t>P2</t>
        </is>
      </c>
      <c r="K20" s="4" t="inlineStr">
        <is>
          <t>:core:designsystem</t>
        </is>
      </c>
      <c r="L20" s="4" t="inlineStr">
        <is>
          <t>–</t>
        </is>
      </c>
      <c r="M20" s="4" t="inlineStr">
        <is>
          <t>–</t>
        </is>
      </c>
      <c r="N20" s="4" t="inlineStr">
        <is>
          <t>LS-015, LS-016, LS-017, LS-018, LS-019, LS-035</t>
        </is>
      </c>
      <c r="O20" s="4" t="inlineStr">
        <is>
          <t>Blocks: –
Blocked by: LS-015, LS-016, LS-017, LS-018, LS-019, LS-035</t>
        </is>
      </c>
      <c r="P20" s="4" t="inlineStr">
        <is>
          <t>1. Baselines committed and reviewed by owner
2. Catalogue excluded from release build</t>
        </is>
      </c>
      <c r="Q20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20" s="4" t="inlineStr">
        <is>
          <t>Use tokens, string resources (EN+KN) and AppConfig only.</t>
        </is>
      </c>
      <c r="S20" s="4" t="inlineStr">
        <is>
          <t>Screenshot tests</t>
        </is>
      </c>
      <c r="T20" s="4" t="inlineStr"/>
      <c r="U20" s="4" t="n">
        <v>3</v>
      </c>
      <c r="V20" s="4" t="inlineStr">
        <is>
          <t>Medium</t>
        </is>
      </c>
      <c r="W20" s="4" t="inlineStr">
        <is>
          <t>Low</t>
        </is>
      </c>
      <c r="X20" s="4" t="inlineStr">
        <is>
          <t>UI Integration &amp; Visual Regression Engineer</t>
        </is>
      </c>
      <c r="Y20" s="4" t="inlineStr">
        <is>
          <t>After deps</t>
        </is>
      </c>
      <c r="Z20" s="4" t="inlineStr">
        <is>
          <t>Low</t>
        </is>
      </c>
      <c r="AA20" s="4" t="inlineStr">
        <is>
          <t>feature/LS-020-design-system-catalogue-screenshot-baselines</t>
        </is>
      </c>
      <c r="AB20" s="4" t="inlineStr"/>
      <c r="AC20" s="4" t="inlineStr"/>
      <c r="AD20" s="4" t="inlineStr">
        <is>
          <t>To Do</t>
        </is>
      </c>
      <c r="AE20" s="4" t="inlineStr">
        <is>
          <t>Project owner (human)</t>
        </is>
      </c>
      <c r="AF20" s="4" t="inlineStr">
        <is>
          <t>Awaiting Approval C</t>
        </is>
      </c>
      <c r="AG20" s="4" t="inlineStr"/>
      <c r="AH20" s="4" t="inlineStr">
        <is>
          <t>None</t>
        </is>
      </c>
      <c r="AI20" s="4" t="inlineStr">
        <is>
          <t>N/A</t>
        </is>
      </c>
      <c r="AJ20" s="4" t="inlineStr"/>
      <c r="AK20" s="4" t="inlineStr">
        <is>
          <t>NFR-10</t>
        </is>
      </c>
      <c r="AL20" s="22">
        <f>AD20&amp;"|"&amp;COUNTIF(AD$2:AD20,AD20)</f>
        <v/>
      </c>
    </row>
    <row r="21" ht="85" customHeight="1">
      <c r="A21" s="17" t="inlineStr">
        <is>
          <t>LS-030</t>
        </is>
      </c>
      <c r="B21" s="4" t="inlineStr">
        <is>
          <t>Task</t>
        </is>
      </c>
      <c r="C21" s="4" t="inlineStr">
        <is>
          <t>LS-EPIC-03</t>
        </is>
      </c>
      <c r="D21" s="4" t="inlineStr">
        <is>
          <t>Project baseline: Gradle wrapper, version catalog, JDK toolchain, .gitattributes</t>
        </is>
      </c>
      <c r="E21" s="4" t="inlineStr">
        <is>
          <t>Verify/establish gradlew + gradlew.bat (exec bit), libs.versions.toml, JDK toolchain, minSdk/targetSdk decision, .gitattributes (LF; CRLF for .bat), .gitignore (local.properties, IDE), UTF-8.</t>
        </is>
      </c>
      <c r="F21" s="4" t="inlineStr">
        <is>
          <t>–</t>
        </is>
      </c>
      <c r="G21" s="4" t="inlineStr">
        <is>
          <t>Maintainable, testable base</t>
        </is>
      </c>
      <c r="H21" s="4" t="inlineStr">
        <is>
          <t>Highest</t>
        </is>
      </c>
      <c r="I21" s="4" t="inlineStr">
        <is>
          <t>Must</t>
        </is>
      </c>
      <c r="J21" s="4" t="inlineStr">
        <is>
          <t>P2</t>
        </is>
      </c>
      <c r="K21" s="4" t="inlineStr">
        <is>
          <t>Build</t>
        </is>
      </c>
      <c r="L21" s="4" t="inlineStr">
        <is>
          <t>–</t>
        </is>
      </c>
      <c r="M21" s="4" t="inlineStr">
        <is>
          <t>–</t>
        </is>
      </c>
      <c r="N21" s="4" t="inlineStr">
        <is>
          <t>LS-001, LS-008, LS-009, LS-039</t>
        </is>
      </c>
      <c r="O21" s="4" t="inlineStr">
        <is>
          <t>Blocks: LS-031, LS-130, LS-132
Blocked by: LS-001, LS-008</t>
        </is>
      </c>
      <c r="P21" s="4" t="inlineStr">
        <is>
          <t>1. ./gradlew and gradlew.bat assembleDebug succeed on macOS and Windows
2. No machine-specific paths committed
3. No whole-file line-ending diffs</t>
        </is>
      </c>
      <c r="Q21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21" s="4" t="inlineStr">
        <is>
          <t>Shared files: settings.gradle.kts, gradle/libs.versions.toml, .gitattributes Use tokens, string resources (EN+KN) and AppConfig only.</t>
        </is>
      </c>
      <c r="S21" s="4" t="inlineStr">
        <is>
          <t>Build on both OSes</t>
        </is>
      </c>
      <c r="T21" s="4" t="inlineStr"/>
      <c r="U21" s="4" t="n">
        <v>3</v>
      </c>
      <c r="V21" s="4" t="inlineStr">
        <is>
          <t>Medium</t>
        </is>
      </c>
      <c r="W21" s="4" t="inlineStr">
        <is>
          <t>Low</t>
        </is>
      </c>
      <c r="X21" s="4" t="inlineStr">
        <is>
          <t>Build, Gradle &amp; CI/CD Engineer</t>
        </is>
      </c>
      <c r="Y21" s="4" t="inlineStr">
        <is>
          <t>No</t>
        </is>
      </c>
      <c r="Z21" s="4" t="inlineStr">
        <is>
          <t>High</t>
        </is>
      </c>
      <c r="AA21" s="4" t="inlineStr">
        <is>
          <t>feature/LS-030-project-baseline-gradle-wrapper-version</t>
        </is>
      </c>
      <c r="AB21" s="4" t="inlineStr"/>
      <c r="AC21" s="4" t="inlineStr"/>
      <c r="AD21" s="4" t="inlineStr">
        <is>
          <t>To Do</t>
        </is>
      </c>
      <c r="AE21" s="4" t="inlineStr">
        <is>
          <t>Project owner (human)</t>
        </is>
      </c>
      <c r="AF21" s="4" t="inlineStr">
        <is>
          <t>Awaiting Approval C</t>
        </is>
      </c>
      <c r="AG21" s="4" t="inlineStr"/>
      <c r="AH21" s="4" t="inlineStr">
        <is>
          <t>None</t>
        </is>
      </c>
      <c r="AI21" s="4" t="inlineStr">
        <is>
          <t>N/A</t>
        </is>
      </c>
      <c r="AJ21" s="4" t="inlineStr"/>
      <c r="AK21" s="4" t="inlineStr">
        <is>
          <t>NFR-09</t>
        </is>
      </c>
      <c r="AL21" s="22">
        <f>AD21&amp;"|"&amp;COUNTIF(AD$2:AD21,AD21)</f>
        <v/>
      </c>
    </row>
    <row r="22" ht="85" customHeight="1">
      <c r="A22" s="17" t="inlineStr">
        <is>
          <t>LS-031</t>
        </is>
      </c>
      <c r="B22" s="4" t="inlineStr">
        <is>
          <t>Task</t>
        </is>
      </c>
      <c r="C22" s="4" t="inlineStr">
        <is>
          <t>LS-EPIC-03</t>
        </is>
      </c>
      <c r="D22" s="4" t="inlineStr">
        <is>
          <t>Module structure + build-logic convention plugins</t>
        </is>
      </c>
      <c r="E22" s="4" t="inlineStr">
        <is>
          <t>Create the 14 modules proposed in ADR-002 (:app, build-logic, :core:designsystem, :core:ui, :core:common, :domain, :data, :feature:onboarding/home/discover/create/reader/library/settings) and convention plugins for shared Android/Compose/test config.</t>
        </is>
      </c>
      <c r="F22" s="4" t="inlineStr">
        <is>
          <t>–</t>
        </is>
      </c>
      <c r="G22" s="4" t="inlineStr">
        <is>
          <t>Maintainable, testable base</t>
        </is>
      </c>
      <c r="H22" s="4" t="inlineStr">
        <is>
          <t>Highest</t>
        </is>
      </c>
      <c r="I22" s="4" t="inlineStr">
        <is>
          <t>Must</t>
        </is>
      </c>
      <c r="J22" s="4" t="inlineStr">
        <is>
          <t>P2</t>
        </is>
      </c>
      <c r="K22" s="4" t="inlineStr">
        <is>
          <t>Build</t>
        </is>
      </c>
      <c r="L22" s="4" t="inlineStr">
        <is>
          <t>–</t>
        </is>
      </c>
      <c r="M22" s="4" t="inlineStr">
        <is>
          <t>–</t>
        </is>
      </c>
      <c r="N22" s="4" t="inlineStr">
        <is>
          <t>LS-030, LS-008</t>
        </is>
      </c>
      <c r="O22" s="4" t="inlineStr">
        <is>
          <t>Blocks: LS-010, LS-011, LS-012, LS-013, LS-032, LS-033, LS-034, LS-035, LS-037, LS-040, LS-050
Blocked by: LS-030, LS-008</t>
        </is>
      </c>
      <c r="P22" s="4" t="inlineStr">
        <is>
          <t>1. Modules compile with dependency rules enforced
2. No duplicated Gradle blocks
3. Module graph documented</t>
        </is>
      </c>
      <c r="Q22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22" s="4" t="inlineStr">
        <is>
          <t>Shared files: settings.gradle.kts, build-logic/ Use tokens, string resources (EN+KN) and AppConfig only.</t>
        </is>
      </c>
      <c r="S22" s="4" t="inlineStr">
        <is>
          <t>Build; dependency-rule check</t>
        </is>
      </c>
      <c r="T22" s="4" t="inlineStr"/>
      <c r="U22" s="4" t="n">
        <v>5</v>
      </c>
      <c r="V22" s="4" t="inlineStr">
        <is>
          <t>High</t>
        </is>
      </c>
      <c r="W22" s="4" t="inlineStr">
        <is>
          <t>Low</t>
        </is>
      </c>
      <c r="X22" s="4" t="inlineStr">
        <is>
          <t>Android Principal Architect</t>
        </is>
      </c>
      <c r="Y22" s="4" t="inlineStr">
        <is>
          <t>No</t>
        </is>
      </c>
      <c r="Z22" s="4" t="inlineStr">
        <is>
          <t>High</t>
        </is>
      </c>
      <c r="AA22" s="4" t="inlineStr">
        <is>
          <t>feature/LS-031-module-structure-build-logic-convention</t>
        </is>
      </c>
      <c r="AB22" s="4" t="inlineStr"/>
      <c r="AC22" s="4" t="inlineStr"/>
      <c r="AD22" s="4" t="inlineStr">
        <is>
          <t>To Do</t>
        </is>
      </c>
      <c r="AE22" s="4" t="inlineStr">
        <is>
          <t>Project owner (human)</t>
        </is>
      </c>
      <c r="AF22" s="4" t="inlineStr">
        <is>
          <t>Awaiting Approval C</t>
        </is>
      </c>
      <c r="AG22" s="4" t="inlineStr"/>
      <c r="AH22" s="4" t="inlineStr">
        <is>
          <t>None</t>
        </is>
      </c>
      <c r="AI22" s="4" t="inlineStr">
        <is>
          <t>N/A</t>
        </is>
      </c>
      <c r="AJ22" s="4" t="inlineStr"/>
      <c r="AK22" s="4" t="inlineStr">
        <is>
          <t>NFR-05</t>
        </is>
      </c>
      <c r="AL22" s="22">
        <f>AD22&amp;"|"&amp;COUNTIF(AD$2:AD22,AD22)</f>
        <v/>
      </c>
    </row>
    <row r="23" ht="85" customHeight="1">
      <c r="A23" s="17" t="inlineStr">
        <is>
          <t>LS-032</t>
        </is>
      </c>
      <c r="B23" s="4" t="inlineStr">
        <is>
          <t>Task</t>
        </is>
      </c>
      <c r="C23" s="4" t="inlineStr">
        <is>
          <t>LS-EPIC-03</t>
        </is>
      </c>
      <c r="D23" s="4" t="inlineStr">
        <is>
          <t>Dependency injection (Hilt) and Application entry</t>
        </is>
      </c>
      <c r="E23" s="4" t="inlineStr">
        <is>
          <t>Hilt setup, Application class, MainActivity single-activity host.</t>
        </is>
      </c>
      <c r="F23" s="4" t="inlineStr">
        <is>
          <t>–</t>
        </is>
      </c>
      <c r="G23" s="4" t="inlineStr">
        <is>
          <t>Maintainable, testable base</t>
        </is>
      </c>
      <c r="H23" s="4" t="inlineStr">
        <is>
          <t>High</t>
        </is>
      </c>
      <c r="I23" s="4" t="inlineStr">
        <is>
          <t>Must</t>
        </is>
      </c>
      <c r="J23" s="4" t="inlineStr">
        <is>
          <t>P2</t>
        </is>
      </c>
      <c r="K23" s="4" t="inlineStr">
        <is>
          <t>:app</t>
        </is>
      </c>
      <c r="L23" s="4" t="inlineStr">
        <is>
          <t>–</t>
        </is>
      </c>
      <c r="M23" s="4" t="inlineStr">
        <is>
          <t>–</t>
        </is>
      </c>
      <c r="N23" s="4" t="inlineStr">
        <is>
          <t>LS-031</t>
        </is>
      </c>
      <c r="O23" s="4" t="inlineStr">
        <is>
          <t>Blocks: –
Blocked by: LS-031</t>
        </is>
      </c>
      <c r="P23" s="4" t="inlineStr">
        <is>
          <t>1. App launches to placeholder
2. Hilt test runner configured</t>
        </is>
      </c>
      <c r="Q23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23" s="4" t="inlineStr">
        <is>
          <t>Shared files: app/build.gradle.kts, AndroidManifest.xml Use tokens, string resources (EN+KN) and AppConfig only.</t>
        </is>
      </c>
      <c r="S23" s="4" t="inlineStr">
        <is>
          <t>Instrumented smoke test</t>
        </is>
      </c>
      <c r="T23" s="4" t="inlineStr"/>
      <c r="U23" s="4" t="n">
        <v>2</v>
      </c>
      <c r="V23" s="4" t="inlineStr">
        <is>
          <t>Low</t>
        </is>
      </c>
      <c r="W23" s="4" t="inlineStr">
        <is>
          <t>Low</t>
        </is>
      </c>
      <c r="X23" s="4" t="inlineStr">
        <is>
          <t>Senior Kotlin Engineer</t>
        </is>
      </c>
      <c r="Y23" s="4" t="inlineStr">
        <is>
          <t>After deps</t>
        </is>
      </c>
      <c r="Z23" s="4" t="inlineStr">
        <is>
          <t>High</t>
        </is>
      </c>
      <c r="AA23" s="4" t="inlineStr">
        <is>
          <t>feature/LS-032-dependency-injection-hilt-and-application</t>
        </is>
      </c>
      <c r="AB23" s="4" t="inlineStr"/>
      <c r="AC23" s="4" t="inlineStr"/>
      <c r="AD23" s="4" t="inlineStr">
        <is>
          <t>To Do</t>
        </is>
      </c>
      <c r="AE23" s="4" t="inlineStr">
        <is>
          <t>Project owner (human)</t>
        </is>
      </c>
      <c r="AF23" s="4" t="inlineStr">
        <is>
          <t>Awaiting Approval C</t>
        </is>
      </c>
      <c r="AG23" s="4" t="inlineStr"/>
      <c r="AH23" s="4" t="inlineStr">
        <is>
          <t>None</t>
        </is>
      </c>
      <c r="AI23" s="4" t="inlineStr">
        <is>
          <t>N/A</t>
        </is>
      </c>
      <c r="AJ23" s="4" t="inlineStr"/>
      <c r="AK23" s="4" t="inlineStr"/>
      <c r="AL23" s="22">
        <f>AD23&amp;"|"&amp;COUNTIF(AD$2:AD23,AD23)</f>
        <v/>
      </c>
    </row>
    <row r="24" ht="85" customHeight="1">
      <c r="A24" s="17" t="inlineStr">
        <is>
          <t>LS-033</t>
        </is>
      </c>
      <c r="B24" s="4" t="inlineStr">
        <is>
          <t>Task</t>
        </is>
      </c>
      <c r="C24" s="4" t="inlineStr">
        <is>
          <t>LS-EPIC-03</t>
        </is>
      </c>
      <c r="D24" s="4" t="inlineStr">
        <is>
          <t>Central configuration &amp; feature flags (AppConfig)</t>
        </is>
      </c>
      <c r="E24" s="4" t="inlineStr">
        <is>
          <t>Named config objects: validation limits (story text 500, age 3–12), simulated timings (generation +4%/120 ms, player tick), sleep-timer options, speed steps, storage quota (1 GB), toast duration, default language; feature flags: demoSubscription, simulatedAudio, simulatedDownloads, reminders; BuildConfig for version/env.</t>
        </is>
      </c>
      <c r="F24" s="4" t="inlineStr">
        <is>
          <t>–</t>
        </is>
      </c>
      <c r="G24" s="4" t="inlineStr">
        <is>
          <t>Maintainable, testable base</t>
        </is>
      </c>
      <c r="H24" s="4" t="inlineStr">
        <is>
          <t>High</t>
        </is>
      </c>
      <c r="I24" s="4" t="inlineStr">
        <is>
          <t>Must</t>
        </is>
      </c>
      <c r="J24" s="4" t="inlineStr">
        <is>
          <t>P2</t>
        </is>
      </c>
      <c r="K24" s="4" t="inlineStr">
        <is>
          <t>:core:common</t>
        </is>
      </c>
      <c r="L24" s="4" t="inlineStr">
        <is>
          <t>–</t>
        </is>
      </c>
      <c r="M24" s="4" t="inlineStr">
        <is>
          <t>–</t>
        </is>
      </c>
      <c r="N24" s="4" t="inlineStr">
        <is>
          <t>LS-031</t>
        </is>
      </c>
      <c r="O24" s="4" t="inlineStr">
        <is>
          <t>Blocks: LS-080, LS-082, LS-092, LS-113, LS-150
Blocked by: LS-031</t>
        </is>
      </c>
      <c r="P24" s="4" t="inlineStr">
        <is>
          <t>1. No magic numbers in feature code for these values
2. Flags toggle features without code edits elsewhere
3. docs/architecture/configuration-and-constants.md lists every value</t>
        </is>
      </c>
      <c r="Q24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24" s="4" t="inlineStr">
        <is>
          <t>Shared files: core/common/config/AppConfig.kt Use tokens, string resources (EN+KN) and AppConfig only.</t>
        </is>
      </c>
      <c r="S24" s="4" t="inlineStr">
        <is>
          <t>Unit: config defaults</t>
        </is>
      </c>
      <c r="T24" s="4" t="inlineStr"/>
      <c r="U24" s="4" t="n">
        <v>3</v>
      </c>
      <c r="V24" s="4" t="inlineStr">
        <is>
          <t>Medium</t>
        </is>
      </c>
      <c r="W24" s="4" t="inlineStr">
        <is>
          <t>Low</t>
        </is>
      </c>
      <c r="X24" s="4" t="inlineStr">
        <is>
          <t>Senior Kotlin Engineer</t>
        </is>
      </c>
      <c r="Y24" s="4" t="inlineStr">
        <is>
          <t>After deps</t>
        </is>
      </c>
      <c r="Z24" s="4" t="inlineStr">
        <is>
          <t>Medium</t>
        </is>
      </c>
      <c r="AA24" s="4" t="inlineStr">
        <is>
          <t>feature/LS-033-central-configuration-feature-flags-appconfig</t>
        </is>
      </c>
      <c r="AB24" s="4" t="inlineStr"/>
      <c r="AC24" s="4" t="inlineStr"/>
      <c r="AD24" s="4" t="inlineStr">
        <is>
          <t>To Do</t>
        </is>
      </c>
      <c r="AE24" s="4" t="inlineStr">
        <is>
          <t>Project owner (human)</t>
        </is>
      </c>
      <c r="AF24" s="4" t="inlineStr">
        <is>
          <t>Awaiting Approval C</t>
        </is>
      </c>
      <c r="AG24" s="4" t="inlineStr"/>
      <c r="AH24" s="4" t="inlineStr">
        <is>
          <t>None</t>
        </is>
      </c>
      <c r="AI24" s="4" t="inlineStr">
        <is>
          <t>N/A</t>
        </is>
      </c>
      <c r="AJ24" s="4" t="inlineStr"/>
      <c r="AK24" s="4" t="inlineStr">
        <is>
          <t>NFR-01</t>
        </is>
      </c>
      <c r="AL24" s="22">
        <f>AD24&amp;"|"&amp;COUNTIF(AD$2:AD24,AD24)</f>
        <v/>
      </c>
    </row>
    <row r="25" ht="85" customHeight="1">
      <c r="A25" s="17" t="inlineStr">
        <is>
          <t>LS-034</t>
        </is>
      </c>
      <c r="B25" s="4" t="inlineStr">
        <is>
          <t>Task</t>
        </is>
      </c>
      <c r="C25" s="4" t="inlineStr">
        <is>
          <t>LS-EPIC-03</t>
        </is>
      </c>
      <c r="D25" s="4" t="inlineStr">
        <is>
          <t>Lint &amp; static analysis rules (hardcoding, translations)</t>
        </is>
      </c>
      <c r="E25" s="4" t="inlineStr">
        <is>
          <t>Lint: HardcodedText, MissingTranslation, SetTextI18n as errors; Detekt/ktlint (if approved) with MagicNumber and custom rule forbidding Color(0x…)/raw .dp in feature modules.</t>
        </is>
      </c>
      <c r="F25" s="4" t="inlineStr">
        <is>
          <t>–</t>
        </is>
      </c>
      <c r="G25" s="4" t="inlineStr">
        <is>
          <t>Maintainable, testable base</t>
        </is>
      </c>
      <c r="H25" s="4" t="inlineStr">
        <is>
          <t>High</t>
        </is>
      </c>
      <c r="I25" s="4" t="inlineStr">
        <is>
          <t>Must</t>
        </is>
      </c>
      <c r="J25" s="4" t="inlineStr">
        <is>
          <t>P2</t>
        </is>
      </c>
      <c r="K25" s="4" t="inlineStr">
        <is>
          <t>Build</t>
        </is>
      </c>
      <c r="L25" s="4" t="inlineStr">
        <is>
          <t>–</t>
        </is>
      </c>
      <c r="M25" s="4" t="inlineStr">
        <is>
          <t>–</t>
        </is>
      </c>
      <c r="N25" s="4" t="inlineStr">
        <is>
          <t>LS-031</t>
        </is>
      </c>
      <c r="O25" s="4" t="inlineStr">
        <is>
          <t>Blocks: LS-125, LS-130
Blocked by: LS-031</t>
        </is>
      </c>
      <c r="P25" s="4" t="inlineStr">
        <is>
          <t>1. Introducing a hardcoded string or hex colour in a feature fails the build
2. Baseline file empty</t>
        </is>
      </c>
      <c r="Q25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25" s="4" t="inlineStr">
        <is>
          <t>Shared files: lint.xml, detekt.yml Use tokens, string resources (EN+KN) and AppConfig only.</t>
        </is>
      </c>
      <c r="S25" s="4" t="inlineStr">
        <is>
          <t>Negative test: deliberately add hardcoded string → build fails</t>
        </is>
      </c>
      <c r="T25" s="4" t="inlineStr"/>
      <c r="U25" s="4" t="n">
        <v>3</v>
      </c>
      <c r="V25" s="4" t="inlineStr">
        <is>
          <t>Medium</t>
        </is>
      </c>
      <c r="W25" s="4" t="inlineStr">
        <is>
          <t>Low</t>
        </is>
      </c>
      <c r="X25" s="4" t="inlineStr">
        <is>
          <t>Code Quality &amp; Maintainability Reviewer</t>
        </is>
      </c>
      <c r="Y25" s="4" t="inlineStr">
        <is>
          <t>After deps</t>
        </is>
      </c>
      <c r="Z25" s="4" t="inlineStr">
        <is>
          <t>Medium</t>
        </is>
      </c>
      <c r="AA25" s="4" t="inlineStr">
        <is>
          <t>feature/LS-034-lint-static-analysis-rules-hardcoding</t>
        </is>
      </c>
      <c r="AB25" s="4" t="inlineStr"/>
      <c r="AC25" s="4" t="inlineStr"/>
      <c r="AD25" s="4" t="inlineStr">
        <is>
          <t>To Do</t>
        </is>
      </c>
      <c r="AE25" s="4" t="inlineStr">
        <is>
          <t>Project owner (human)</t>
        </is>
      </c>
      <c r="AF25" s="4" t="inlineStr">
        <is>
          <t>Awaiting Approval C</t>
        </is>
      </c>
      <c r="AG25" s="4" t="inlineStr"/>
      <c r="AH25" s="4" t="inlineStr">
        <is>
          <t>None</t>
        </is>
      </c>
      <c r="AI25" s="4" t="inlineStr">
        <is>
          <t>N/A</t>
        </is>
      </c>
      <c r="AJ25" s="4" t="inlineStr"/>
      <c r="AK25" s="4" t="inlineStr">
        <is>
          <t>NFR-01, NFR-02</t>
        </is>
      </c>
      <c r="AL25" s="22">
        <f>AD25&amp;"|"&amp;COUNTIF(AD$2:AD25,AD25)</f>
        <v/>
      </c>
    </row>
    <row r="26" ht="85" customHeight="1">
      <c r="A26" s="17" t="inlineStr">
        <is>
          <t>LS-035</t>
        </is>
      </c>
      <c r="B26" s="4" t="inlineStr">
        <is>
          <t>Task</t>
        </is>
      </c>
      <c r="C26" s="4" t="inlineStr">
        <is>
          <t>LS-EPIC-03</t>
        </is>
      </c>
      <c r="D26" s="4" t="inlineStr">
        <is>
          <t>Test infrastructure (unit, UI, screenshot)</t>
        </is>
      </c>
      <c r="E26" s="4" t="inlineStr">
        <is>
          <t>JUnit, MockK, coroutines-test, Turbine, Compose UI test, screenshot tool per ADR-011; locale-parameterised test helpers (en, kn, en-XA).</t>
        </is>
      </c>
      <c r="F26" s="4" t="inlineStr">
        <is>
          <t>–</t>
        </is>
      </c>
      <c r="G26" s="4" t="inlineStr">
        <is>
          <t>Maintainable, testable base</t>
        </is>
      </c>
      <c r="H26" s="4" t="inlineStr">
        <is>
          <t>High</t>
        </is>
      </c>
      <c r="I26" s="4" t="inlineStr">
        <is>
          <t>Must</t>
        </is>
      </c>
      <c r="J26" s="4" t="inlineStr">
        <is>
          <t>P2</t>
        </is>
      </c>
      <c r="K26" s="4" t="inlineStr">
        <is>
          <t>Build / test</t>
        </is>
      </c>
      <c r="L26" s="4" t="inlineStr">
        <is>
          <t>–</t>
        </is>
      </c>
      <c r="M26" s="4" t="inlineStr">
        <is>
          <t>–</t>
        </is>
      </c>
      <c r="N26" s="4" t="inlineStr">
        <is>
          <t>LS-031</t>
        </is>
      </c>
      <c r="O26" s="4" t="inlineStr">
        <is>
          <t>Blocks: LS-020, LS-122
Blocked by: LS-031</t>
        </is>
      </c>
      <c r="P26" s="4" t="inlineStr">
        <is>
          <t>1. Sample test of each kind passes on CI
2. Screenshot tests run per locale</t>
        </is>
      </c>
      <c r="Q26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26" s="4" t="inlineStr">
        <is>
          <t>Shared files: gradle/libs.versions.toml Use tokens, string resources (EN+KN) and AppConfig only.</t>
        </is>
      </c>
      <c r="S26" s="4" t="inlineStr">
        <is>
          <t>CI run</t>
        </is>
      </c>
      <c r="T26" s="4" t="inlineStr"/>
      <c r="U26" s="4" t="n">
        <v>3</v>
      </c>
      <c r="V26" s="4" t="inlineStr">
        <is>
          <t>Medium</t>
        </is>
      </c>
      <c r="W26" s="4" t="inlineStr">
        <is>
          <t>Low</t>
        </is>
      </c>
      <c r="X26" s="4" t="inlineStr">
        <is>
          <t>Android Testing &amp; Automation Engineer</t>
        </is>
      </c>
      <c r="Y26" s="4" t="inlineStr">
        <is>
          <t>After deps</t>
        </is>
      </c>
      <c r="Z26" s="4" t="inlineStr">
        <is>
          <t>Medium</t>
        </is>
      </c>
      <c r="AA26" s="4" t="inlineStr">
        <is>
          <t>feature/LS-035-test-infrastructure-unit-ui-screenshot</t>
        </is>
      </c>
      <c r="AB26" s="4" t="inlineStr"/>
      <c r="AC26" s="4" t="inlineStr"/>
      <c r="AD26" s="4" t="inlineStr">
        <is>
          <t>To Do</t>
        </is>
      </c>
      <c r="AE26" s="4" t="inlineStr">
        <is>
          <t>Project owner (human)</t>
        </is>
      </c>
      <c r="AF26" s="4" t="inlineStr">
        <is>
          <t>Awaiting Approval C</t>
        </is>
      </c>
      <c r="AG26" s="4" t="inlineStr"/>
      <c r="AH26" s="4" t="inlineStr">
        <is>
          <t>None</t>
        </is>
      </c>
      <c r="AI26" s="4" t="inlineStr">
        <is>
          <t>N/A</t>
        </is>
      </c>
      <c r="AJ26" s="4" t="inlineStr"/>
      <c r="AK26" s="4" t="inlineStr"/>
      <c r="AL26" s="22">
        <f>AD26&amp;"|"&amp;COUNTIF(AD$2:AD26,AD26)</f>
        <v/>
      </c>
    </row>
    <row r="27" ht="85" customHeight="1">
      <c r="A27" s="17" t="inlineStr">
        <is>
          <t>LS-036</t>
        </is>
      </c>
      <c r="B27" s="4" t="inlineStr">
        <is>
          <t>Task</t>
        </is>
      </c>
      <c r="C27" s="4" t="inlineStr">
        <is>
          <t>LS-EPIC-03</t>
        </is>
      </c>
      <c r="D27" s="4" t="inlineStr">
        <is>
          <t>Mock data sources: per-language JSON assets + loader</t>
        </is>
      </c>
      <c r="E27" s="4" t="inlineStr">
        <is>
          <t>assets/mock/stories_{en,kn}.json, categories, notifications, plans, profiles; loader with English fallback; stable IDs identical across languages; seed covers long titles, missing KN translation, empty library.</t>
        </is>
      </c>
      <c r="F27" s="4" t="inlineStr">
        <is>
          <t>–</t>
        </is>
      </c>
      <c r="G27" s="4" t="inlineStr">
        <is>
          <t>Maintainable, testable base</t>
        </is>
      </c>
      <c r="H27" s="4" t="inlineStr">
        <is>
          <t>High</t>
        </is>
      </c>
      <c r="I27" s="4" t="inlineStr">
        <is>
          <t>Must</t>
        </is>
      </c>
      <c r="J27" s="4" t="inlineStr">
        <is>
          <t>P2</t>
        </is>
      </c>
      <c r="K27" s="4" t="inlineStr">
        <is>
          <t>:data</t>
        </is>
      </c>
      <c r="L27" s="4" t="inlineStr">
        <is>
          <t>All</t>
        </is>
      </c>
      <c r="M27" s="5" t="inlineStr">
        <is>
          <t>Design pack – all screens (docs/design/screens/)</t>
        </is>
      </c>
      <c r="N27" s="4" t="inlineStr">
        <is>
          <t>LS-037</t>
        </is>
      </c>
      <c r="O27" s="4" t="inlineStr">
        <is>
          <t>Blocks: LS-044, LS-070, LS-071, LS-073, LS-074, LS-082, LS-090, LS-112
Blocked by: LS-037</t>
        </is>
      </c>
      <c r="P27" s="4" t="inlineStr">
        <is>
          <t>1. Six design stories + reader pages load in EN
2. Missing KN entry falls back to EN
3. No mock content in composables/ViewModels</t>
        </is>
      </c>
      <c r="Q27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27" s="4" t="inlineStr">
        <is>
          <t>Use tokens, string resources (EN+KN) and AppConfig only.</t>
        </is>
      </c>
      <c r="S27" s="4" t="inlineStr">
        <is>
          <t>Unit: loader + fallback</t>
        </is>
      </c>
      <c r="T27" s="4" t="inlineStr"/>
      <c r="U27" s="4" t="n">
        <v>5</v>
      </c>
      <c r="V27" s="4" t="inlineStr">
        <is>
          <t>High</t>
        </is>
      </c>
      <c r="W27" s="4" t="inlineStr">
        <is>
          <t>Low</t>
        </is>
      </c>
      <c r="X27" s="4" t="inlineStr">
        <is>
          <t>Data &amp; Persistence Engineer</t>
        </is>
      </c>
      <c r="Y27" s="4" t="inlineStr">
        <is>
          <t>After deps</t>
        </is>
      </c>
      <c r="Z27" s="4" t="inlineStr">
        <is>
          <t>Low</t>
        </is>
      </c>
      <c r="AA27" s="4" t="inlineStr">
        <is>
          <t>feature/LS-036-mock-data-sources-per-language</t>
        </is>
      </c>
      <c r="AB27" s="4" t="inlineStr"/>
      <c r="AC27" s="4" t="inlineStr"/>
      <c r="AD27" s="4" t="inlineStr">
        <is>
          <t>To Do</t>
        </is>
      </c>
      <c r="AE27" s="4" t="inlineStr">
        <is>
          <t>Project owner (human)</t>
        </is>
      </c>
      <c r="AF27" s="4" t="inlineStr">
        <is>
          <t>Awaiting Approval C</t>
        </is>
      </c>
      <c r="AG27" s="4" t="inlineStr"/>
      <c r="AH27" s="4" t="inlineStr">
        <is>
          <t>Content</t>
        </is>
      </c>
      <c r="AI27" s="4" t="inlineStr">
        <is>
          <t>Missing</t>
        </is>
      </c>
      <c r="AJ27" s="4" t="inlineStr"/>
      <c r="AK27" s="4" t="inlineStr">
        <is>
          <t>NFR-06, FR-21</t>
        </is>
      </c>
      <c r="AL27" s="22">
        <f>AD27&amp;"|"&amp;COUNTIF(AD$2:AD27,AD27)</f>
        <v/>
      </c>
    </row>
    <row r="28" ht="85" customHeight="1">
      <c r="A28" s="17" t="inlineStr">
        <is>
          <t>LS-037</t>
        </is>
      </c>
      <c r="B28" s="4" t="inlineStr">
        <is>
          <t>Task</t>
        </is>
      </c>
      <c r="C28" s="4" t="inlineStr">
        <is>
          <t>LS-EPIC-03</t>
        </is>
      </c>
      <c r="D28" s="4" t="inlineStr">
        <is>
          <t>Domain models &amp; repository interfaces</t>
        </is>
      </c>
      <c r="E28" s="4" t="inlineStr">
        <is>
          <t>Story, StoryPage, Category, ChildProfile, Avatar, StoryCreationRequest, GenerationState, ReadingProgress, PlaybackState, Download, ReminderSettings, Notification, Plan, SupportedLanguage; repository interfaces (Catalog, Profiles, Favourites, Library, Generation, Progress, Downloads, Preferences, Notifications, Subscription).</t>
        </is>
      </c>
      <c r="F28" s="4" t="inlineStr">
        <is>
          <t>–</t>
        </is>
      </c>
      <c r="G28" s="4" t="inlineStr">
        <is>
          <t>Maintainable, testable base</t>
        </is>
      </c>
      <c r="H28" s="4" t="inlineStr">
        <is>
          <t>Highest</t>
        </is>
      </c>
      <c r="I28" s="4" t="inlineStr">
        <is>
          <t>Must</t>
        </is>
      </c>
      <c r="J28" s="4" t="inlineStr">
        <is>
          <t>P2</t>
        </is>
      </c>
      <c r="K28" s="4" t="inlineStr">
        <is>
          <t>:domain</t>
        </is>
      </c>
      <c r="L28" s="4" t="inlineStr">
        <is>
          <t>–</t>
        </is>
      </c>
      <c r="M28" s="4" t="inlineStr">
        <is>
          <t>–</t>
        </is>
      </c>
      <c r="N28" s="4" t="inlineStr">
        <is>
          <t>LS-031</t>
        </is>
      </c>
      <c r="O28" s="4" t="inlineStr">
        <is>
          <t>Blocks: LS-036, LS-038, LS-082, LS-140
Blocked by: LS-031</t>
        </is>
      </c>
      <c r="P28" s="4" t="inlineStr">
        <is>
          <t>1. Domain has no Android/Compose imports
2. Models documented in docs/architecture/data-models.md</t>
        </is>
      </c>
      <c r="Q28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28" s="4" t="inlineStr">
        <is>
          <t>Shared files: domain/model/*, domain/repository/* Use tokens, string resources (EN+KN) and AppConfig only.</t>
        </is>
      </c>
      <c r="S28" s="4" t="inlineStr">
        <is>
          <t>Unit: model validation</t>
        </is>
      </c>
      <c r="T28" s="4" t="inlineStr"/>
      <c r="U28" s="4" t="n">
        <v>5</v>
      </c>
      <c r="V28" s="4" t="inlineStr">
        <is>
          <t>High</t>
        </is>
      </c>
      <c r="W28" s="4" t="inlineStr">
        <is>
          <t>Low</t>
        </is>
      </c>
      <c r="X28" s="4" t="inlineStr">
        <is>
          <t>Android Principal Architect</t>
        </is>
      </c>
      <c r="Y28" s="4" t="inlineStr">
        <is>
          <t>After deps</t>
        </is>
      </c>
      <c r="Z28" s="4" t="inlineStr">
        <is>
          <t>High</t>
        </is>
      </c>
      <c r="AA28" s="4" t="inlineStr">
        <is>
          <t>feature/LS-037-domain-models-repository-interfaces</t>
        </is>
      </c>
      <c r="AB28" s="4" t="inlineStr"/>
      <c r="AC28" s="4" t="inlineStr"/>
      <c r="AD28" s="4" t="inlineStr">
        <is>
          <t>To Do</t>
        </is>
      </c>
      <c r="AE28" s="4" t="inlineStr">
        <is>
          <t>Project owner (human)</t>
        </is>
      </c>
      <c r="AF28" s="4" t="inlineStr">
        <is>
          <t>Awaiting Approval C</t>
        </is>
      </c>
      <c r="AG28" s="4" t="inlineStr"/>
      <c r="AH28" s="4" t="inlineStr">
        <is>
          <t>None</t>
        </is>
      </c>
      <c r="AI28" s="4" t="inlineStr">
        <is>
          <t>N/A</t>
        </is>
      </c>
      <c r="AJ28" s="4" t="inlineStr"/>
      <c r="AK28" s="4" t="inlineStr">
        <is>
          <t>NFR-05</t>
        </is>
      </c>
      <c r="AL28" s="22">
        <f>AD28&amp;"|"&amp;COUNTIF(AD$2:AD28,AD28)</f>
        <v/>
      </c>
    </row>
    <row r="29" ht="85" customHeight="1">
      <c r="A29" s="17" t="inlineStr">
        <is>
          <t>LS-038</t>
        </is>
      </c>
      <c r="B29" s="4" t="inlineStr">
        <is>
          <t>Task</t>
        </is>
      </c>
      <c r="C29" s="4" t="inlineStr">
        <is>
          <t>LS-EPIC-03</t>
        </is>
      </c>
      <c r="D29" s="4" t="inlineStr">
        <is>
          <t>Local persistence (DataStore + Room per ADR-004)</t>
        </is>
      </c>
      <c r="E29" s="4" t="inlineStr">
        <is>
          <t>DataStore: settings, active profile, language default, reader text size; Room: profiles, favourites, created stories, progress, downloads, notifications read state.</t>
        </is>
      </c>
      <c r="F29" s="4" t="inlineStr">
        <is>
          <t>–</t>
        </is>
      </c>
      <c r="G29" s="4" t="inlineStr">
        <is>
          <t>Maintainable, testable base</t>
        </is>
      </c>
      <c r="H29" s="4" t="inlineStr">
        <is>
          <t>High</t>
        </is>
      </c>
      <c r="I29" s="4" t="inlineStr">
        <is>
          <t>Must</t>
        </is>
      </c>
      <c r="J29" s="4" t="inlineStr">
        <is>
          <t>P2</t>
        </is>
      </c>
      <c r="K29" s="4" t="inlineStr">
        <is>
          <t>:data</t>
        </is>
      </c>
      <c r="L29" s="4" t="inlineStr">
        <is>
          <t>–</t>
        </is>
      </c>
      <c r="M29" s="4" t="inlineStr">
        <is>
          <t>–</t>
        </is>
      </c>
      <c r="N29" s="4" t="inlineStr">
        <is>
          <t>LS-037</t>
        </is>
      </c>
      <c r="O29" s="4" t="inlineStr">
        <is>
          <t>Blocks: LS-051, LS-062, LS-075, LS-091, LS-101, LS-111
Blocked by: LS-037</t>
        </is>
      </c>
      <c r="P29" s="4" t="inlineStr">
        <is>
          <t>1. Data survives process death
2. In-memory Room tests
3. No child data logged</t>
        </is>
      </c>
      <c r="Q29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29" s="4" t="inlineStr">
        <is>
          <t>Use tokens, string resources (EN+KN) and AppConfig only.</t>
        </is>
      </c>
      <c r="S29" s="4" t="inlineStr">
        <is>
          <t>Room DAO tests · DataStore tests</t>
        </is>
      </c>
      <c r="T29" s="4" t="inlineStr"/>
      <c r="U29" s="4" t="n">
        <v>5</v>
      </c>
      <c r="V29" s="4" t="inlineStr">
        <is>
          <t>High</t>
        </is>
      </c>
      <c r="W29" s="4" t="inlineStr">
        <is>
          <t>Low</t>
        </is>
      </c>
      <c r="X29" s="4" t="inlineStr">
        <is>
          <t>Data &amp; Persistence Engineer</t>
        </is>
      </c>
      <c r="Y29" s="4" t="inlineStr">
        <is>
          <t>After deps</t>
        </is>
      </c>
      <c r="Z29" s="4" t="inlineStr">
        <is>
          <t>Medium</t>
        </is>
      </c>
      <c r="AA29" s="4" t="inlineStr">
        <is>
          <t>feature/LS-038-local-persistence-datastore-room-per</t>
        </is>
      </c>
      <c r="AB29" s="4" t="inlineStr"/>
      <c r="AC29" s="4" t="inlineStr"/>
      <c r="AD29" s="4" t="inlineStr">
        <is>
          <t>To Do</t>
        </is>
      </c>
      <c r="AE29" s="4" t="inlineStr">
        <is>
          <t>Project owner (human)</t>
        </is>
      </c>
      <c r="AF29" s="4" t="inlineStr">
        <is>
          <t>Awaiting Approval C</t>
        </is>
      </c>
      <c r="AG29" s="4" t="inlineStr"/>
      <c r="AH29" s="4" t="inlineStr">
        <is>
          <t>None</t>
        </is>
      </c>
      <c r="AI29" s="4" t="inlineStr">
        <is>
          <t>N/A</t>
        </is>
      </c>
      <c r="AJ29" s="4" t="inlineStr"/>
      <c r="AK29" s="4" t="inlineStr">
        <is>
          <t>NFR-07, NFR-11</t>
        </is>
      </c>
      <c r="AL29" s="22">
        <f>AD29&amp;"|"&amp;COUNTIF(AD$2:AD29,AD29)</f>
        <v/>
      </c>
    </row>
    <row r="30" ht="85" customHeight="1">
      <c r="A30" s="17" t="inlineStr">
        <is>
          <t>LS-040</t>
        </is>
      </c>
      <c r="B30" s="4" t="inlineStr">
        <is>
          <t>Story</t>
        </is>
      </c>
      <c r="C30" s="4" t="inlineStr">
        <is>
          <t>LS-EPIC-14</t>
        </is>
      </c>
      <c r="D30" s="4" t="inlineStr">
        <is>
          <t>Localization foundation: EN/KN resources, locale switching, language registry, UiText</t>
        </is>
      </c>
      <c r="E30" s="4" t="inlineStr">
        <is>
          <t>values/ + values-kn/ per module, res/xml/locales_config.xml, manifest reference, AppCompatDelegate.setApplicationLocales, SupportedLanguage registry (tag, native name 'English'/'ಕನ್ನಡ', enabled), UiText sealed type for ViewModels, supportsRtl.</t>
        </is>
      </c>
      <c r="F30" s="4" t="inlineStr">
        <is>
          <t>As a parent, I want to use the app in Kannada so my family understands it.</t>
        </is>
      </c>
      <c r="G30" s="4" t="inlineStr">
        <is>
          <t>Reach Kannada-speaking families</t>
        </is>
      </c>
      <c r="H30" s="4" t="inlineStr">
        <is>
          <t>Highest</t>
        </is>
      </c>
      <c r="I30" s="4" t="inlineStr">
        <is>
          <t>Must</t>
        </is>
      </c>
      <c r="J30" s="4" t="inlineStr">
        <is>
          <t>P2</t>
        </is>
      </c>
      <c r="K30" s="4" t="inlineStr">
        <is>
          <t>:core:common / :core:ui</t>
        </is>
      </c>
      <c r="L30" s="4" t="inlineStr">
        <is>
          <t>All</t>
        </is>
      </c>
      <c r="M30" s="5" t="inlineStr">
        <is>
          <t>Design pack – all screens (docs/design/screens/)</t>
        </is>
      </c>
      <c r="N30" s="4" t="inlineStr">
        <is>
          <t>LS-031</t>
        </is>
      </c>
      <c r="O30" s="4" t="inlineStr">
        <is>
          <t>Blocks: LS-041, LS-042, LS-043, LS-045, LS-046, LS-048, LS-081, LS-150
Blocked by: LS-031</t>
        </is>
      </c>
      <c r="P30" s="4" t="inlineStr">
        <is>
          <t>1. Switching language updates UI without restart and persists
2. Registry is the only list of languages
3. ViewModels hold no translated text</t>
        </is>
      </c>
      <c r="Q30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30" s="4" t="inlineStr">
        <is>
          <t>Shared files: locales_config.xml, SupportedLanguage.kt Use tokens, string resources (EN+KN) and AppConfig only.</t>
        </is>
      </c>
      <c r="S30" s="4" t="inlineStr">
        <is>
          <t>Unit: registry · UI: switch EN→KN→EN</t>
        </is>
      </c>
      <c r="T30" s="4" t="inlineStr"/>
      <c r="U30" s="4" t="n">
        <v>5</v>
      </c>
      <c r="V30" s="4" t="inlineStr">
        <is>
          <t>High</t>
        </is>
      </c>
      <c r="W30" s="4" t="inlineStr">
        <is>
          <t>Low</t>
        </is>
      </c>
      <c r="X30" s="4" t="inlineStr">
        <is>
          <t>Accessibility, Localization &amp; i18n Engineer</t>
        </is>
      </c>
      <c r="Y30" s="4" t="inlineStr">
        <is>
          <t>After deps</t>
        </is>
      </c>
      <c r="Z30" s="4" t="inlineStr">
        <is>
          <t>High</t>
        </is>
      </c>
      <c r="AA30" s="4" t="inlineStr">
        <is>
          <t>feature/LS-040-localization-foundation-en-kn-resources</t>
        </is>
      </c>
      <c r="AB30" s="4" t="inlineStr"/>
      <c r="AC30" s="4" t="inlineStr"/>
      <c r="AD30" s="4" t="inlineStr">
        <is>
          <t>To Do</t>
        </is>
      </c>
      <c r="AE30" s="4" t="inlineStr">
        <is>
          <t>Project owner (human)</t>
        </is>
      </c>
      <c r="AF30" s="4" t="inlineStr">
        <is>
          <t>Awaiting Approval C</t>
        </is>
      </c>
      <c r="AG30" s="4" t="inlineStr"/>
      <c r="AH30" s="4" t="inlineStr">
        <is>
          <t>New strings</t>
        </is>
      </c>
      <c r="AI30" s="4" t="inlineStr">
        <is>
          <t>Missing</t>
        </is>
      </c>
      <c r="AJ30" s="4" t="inlineStr"/>
      <c r="AK30" s="4" t="inlineStr">
        <is>
          <t>FR-20, NFR-02, NFR-03</t>
        </is>
      </c>
      <c r="AL30" s="22">
        <f>AD30&amp;"|"&amp;COUNTIF(AD$2:AD30,AD30)</f>
        <v/>
      </c>
    </row>
    <row r="31" ht="85" customHeight="1">
      <c r="A31" s="17" t="inlineStr">
        <is>
          <t>LS-041</t>
        </is>
      </c>
      <c r="B31" s="4" t="inlineStr">
        <is>
          <t>Task</t>
        </is>
      </c>
      <c r="C31" s="4" t="inlineStr">
        <is>
          <t>LS-EPIC-14</t>
        </is>
      </c>
      <c r="D31" s="4" t="inlineStr">
        <is>
          <t>Translation completeness check (key &amp; format-arg parity) in Gradle/CI</t>
        </is>
      </c>
      <c r="E31" s="4" t="inlineStr">
        <is>
          <t>Task that fails when a key in values/ is missing in values-kn/ (and any future values-xx/) or format args differ; also checks mock JSON has every story ID per language or explicit fallback.</t>
        </is>
      </c>
      <c r="F31" s="4" t="inlineStr">
        <is>
          <t>–</t>
        </is>
      </c>
      <c r="G31" s="4" t="inlineStr">
        <is>
          <t>Reach Kannada-speaking families</t>
        </is>
      </c>
      <c r="H31" s="4" t="inlineStr">
        <is>
          <t>High</t>
        </is>
      </c>
      <c r="I31" s="4" t="inlineStr">
        <is>
          <t>Must</t>
        </is>
      </c>
      <c r="J31" s="4" t="inlineStr">
        <is>
          <t>P2</t>
        </is>
      </c>
      <c r="K31" s="4" t="inlineStr">
        <is>
          <t>Build</t>
        </is>
      </c>
      <c r="L31" s="4" t="inlineStr">
        <is>
          <t>–</t>
        </is>
      </c>
      <c r="M31" s="4" t="inlineStr">
        <is>
          <t>–</t>
        </is>
      </c>
      <c r="N31" s="4" t="inlineStr">
        <is>
          <t>LS-040</t>
        </is>
      </c>
      <c r="O31" s="4" t="inlineStr">
        <is>
          <t>Blocks: LS-048, LS-130
Blocked by: LS-040</t>
        </is>
      </c>
      <c r="P31" s="4" t="inlineStr">
        <is>
          <t>1. Missing KN key fails CI with clear message
2. Mismatched %1$s fails CI</t>
        </is>
      </c>
      <c r="Q31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31" s="4" t="inlineStr">
        <is>
          <t>Use tokens, string resources (EN+KN) and AppConfig only.</t>
        </is>
      </c>
      <c r="S31" s="4" t="inlineStr">
        <is>
          <t>Negative tests</t>
        </is>
      </c>
      <c r="T31" s="4" t="inlineStr"/>
      <c r="U31" s="4" t="n">
        <v>2</v>
      </c>
      <c r="V31" s="4" t="inlineStr">
        <is>
          <t>Low</t>
        </is>
      </c>
      <c r="W31" s="4" t="inlineStr">
        <is>
          <t>Low</t>
        </is>
      </c>
      <c r="X31" s="4" t="inlineStr">
        <is>
          <t>Build, Gradle &amp; CI/CD Engineer</t>
        </is>
      </c>
      <c r="Y31" s="4" t="inlineStr">
        <is>
          <t>After deps</t>
        </is>
      </c>
      <c r="Z31" s="4" t="inlineStr">
        <is>
          <t>Low</t>
        </is>
      </c>
      <c r="AA31" s="4" t="inlineStr">
        <is>
          <t>feature/LS-041-translation-completeness-check-key-format</t>
        </is>
      </c>
      <c r="AB31" s="4" t="inlineStr"/>
      <c r="AC31" s="4" t="inlineStr"/>
      <c r="AD31" s="4" t="inlineStr">
        <is>
          <t>To Do</t>
        </is>
      </c>
      <c r="AE31" s="4" t="inlineStr">
        <is>
          <t>Project owner (human)</t>
        </is>
      </c>
      <c r="AF31" s="4" t="inlineStr">
        <is>
          <t>Awaiting Approval C</t>
        </is>
      </c>
      <c r="AG31" s="4" t="inlineStr"/>
      <c r="AH31" s="4" t="inlineStr">
        <is>
          <t>None</t>
        </is>
      </c>
      <c r="AI31" s="4" t="inlineStr">
        <is>
          <t>N/A</t>
        </is>
      </c>
      <c r="AJ31" s="4" t="inlineStr"/>
      <c r="AK31" s="4" t="inlineStr">
        <is>
          <t>NFR-02</t>
        </is>
      </c>
      <c r="AL31" s="22">
        <f>AD31&amp;"|"&amp;COUNTIF(AD$2:AD31,AD31)</f>
        <v/>
      </c>
    </row>
    <row r="32" ht="85" customHeight="1">
      <c r="A32" s="17" t="inlineStr">
        <is>
          <t>LS-042</t>
        </is>
      </c>
      <c r="B32" s="4" t="inlineStr">
        <is>
          <t>Task</t>
        </is>
      </c>
      <c r="C32" s="4" t="inlineStr">
        <is>
          <t>LS-EPIC-14</t>
        </is>
      </c>
      <c r="D32" s="4" t="inlineStr">
        <is>
          <t>Pseudo-locales &amp; RTL readiness</t>
        </is>
      </c>
      <c r="E32" s="4" t="inlineStr">
        <is>
          <t>Enable en-XA/ar-XB in debug; start/end everywhere; autoMirrored icons.</t>
        </is>
      </c>
      <c r="F32" s="4" t="inlineStr">
        <is>
          <t>–</t>
        </is>
      </c>
      <c r="G32" s="4" t="inlineStr">
        <is>
          <t>Reach Kannada-speaking families</t>
        </is>
      </c>
      <c r="H32" s="4" t="inlineStr">
        <is>
          <t>Medium</t>
        </is>
      </c>
      <c r="I32" s="4" t="inlineStr">
        <is>
          <t>Should</t>
        </is>
      </c>
      <c r="J32" s="4" t="inlineStr">
        <is>
          <t>P2</t>
        </is>
      </c>
      <c r="K32" s="4" t="inlineStr">
        <is>
          <t>:app</t>
        </is>
      </c>
      <c r="L32" s="4" t="inlineStr">
        <is>
          <t>–</t>
        </is>
      </c>
      <c r="M32" s="4" t="inlineStr">
        <is>
          <t>–</t>
        </is>
      </c>
      <c r="N32" s="4" t="inlineStr">
        <is>
          <t>LS-040</t>
        </is>
      </c>
      <c r="O32" s="4" t="inlineStr">
        <is>
          <t>Blocks: –
Blocked by: LS-040</t>
        </is>
      </c>
      <c r="P32" s="4" t="inlineStr">
        <is>
          <t>1. Key screens render under en-XA without clipping
2. ar-XB mirrors layout correctly</t>
        </is>
      </c>
      <c r="Q32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32" s="4" t="inlineStr">
        <is>
          <t>Use tokens, string resources (EN+KN) and AppConfig only.</t>
        </is>
      </c>
      <c r="S32" s="4" t="inlineStr">
        <is>
          <t>Screenshot en-XA, ar-XB</t>
        </is>
      </c>
      <c r="T32" s="4" t="inlineStr"/>
      <c r="U32" s="4" t="n">
        <v>1</v>
      </c>
      <c r="V32" s="4" t="inlineStr">
        <is>
          <t>Low</t>
        </is>
      </c>
      <c r="W32" s="4" t="inlineStr">
        <is>
          <t>Low</t>
        </is>
      </c>
      <c r="X32" s="4" t="inlineStr">
        <is>
          <t>Accessibility, Localization &amp; i18n Engineer</t>
        </is>
      </c>
      <c r="Y32" s="4" t="inlineStr">
        <is>
          <t>Yes</t>
        </is>
      </c>
      <c r="Z32" s="4" t="inlineStr">
        <is>
          <t>Low</t>
        </is>
      </c>
      <c r="AA32" s="4" t="inlineStr">
        <is>
          <t>feature/LS-042-pseudo-locales-rtl-readiness</t>
        </is>
      </c>
      <c r="AB32" s="4" t="inlineStr"/>
      <c r="AC32" s="4" t="inlineStr"/>
      <c r="AD32" s="4" t="inlineStr">
        <is>
          <t>To Do</t>
        </is>
      </c>
      <c r="AE32" s="4" t="inlineStr">
        <is>
          <t>Project owner (human)</t>
        </is>
      </c>
      <c r="AF32" s="4" t="inlineStr">
        <is>
          <t>Awaiting Approval C</t>
        </is>
      </c>
      <c r="AG32" s="4" t="inlineStr"/>
      <c r="AH32" s="4" t="inlineStr">
        <is>
          <t>None</t>
        </is>
      </c>
      <c r="AI32" s="4" t="inlineStr">
        <is>
          <t>N/A</t>
        </is>
      </c>
      <c r="AJ32" s="4" t="inlineStr"/>
      <c r="AK32" s="4" t="inlineStr">
        <is>
          <t>NFR-03</t>
        </is>
      </c>
      <c r="AL32" s="22">
        <f>AD32&amp;"|"&amp;COUNTIF(AD$2:AD32,AD32)</f>
        <v/>
      </c>
    </row>
    <row r="33" ht="85" customHeight="1">
      <c r="A33" s="17" t="inlineStr">
        <is>
          <t>LS-043</t>
        </is>
      </c>
      <c r="B33" s="4" t="inlineStr">
        <is>
          <t>Task</t>
        </is>
      </c>
      <c r="C33" s="4" t="inlineStr">
        <is>
          <t>LS-EPIC-14</t>
        </is>
      </c>
      <c r="D33" s="4" t="inlineStr">
        <is>
          <t>Kannada UI strings (draft) + glossary</t>
        </is>
      </c>
      <c r="E33" s="4" t="inlineStr">
        <is>
          <t>Populate values-kn for all keys in the Translation Tracking sheet; docs/localization/glossary.md for child-friendly terms (story, bedtime, favourite…). Mark every KN value 'Needs native review'.</t>
        </is>
      </c>
      <c r="F33" s="4" t="inlineStr">
        <is>
          <t>–</t>
        </is>
      </c>
      <c r="G33" s="4" t="inlineStr">
        <is>
          <t>Reach Kannada-speaking families</t>
        </is>
      </c>
      <c r="H33" s="4" t="inlineStr">
        <is>
          <t>High</t>
        </is>
      </c>
      <c r="I33" s="4" t="inlineStr">
        <is>
          <t>Must</t>
        </is>
      </c>
      <c r="J33" s="4" t="inlineStr">
        <is>
          <t>P6</t>
        </is>
      </c>
      <c r="K33" s="4" t="inlineStr">
        <is>
          <t>Resources</t>
        </is>
      </c>
      <c r="L33" s="4" t="inlineStr">
        <is>
          <t>All</t>
        </is>
      </c>
      <c r="M33" s="5" t="inlineStr">
        <is>
          <t>Design pack – all screens (docs/design/screens/)</t>
        </is>
      </c>
      <c r="N33" s="4" t="inlineStr">
        <is>
          <t>LS-040</t>
        </is>
      </c>
      <c r="O33" s="4" t="inlineStr">
        <is>
          <t>Blocks: LS-047
Blocked by: LS-040</t>
        </is>
      </c>
      <c r="P33" s="4" t="inlineStr">
        <is>
          <t>1. 100% key coverage in KN
2. Glossary covers recurring terms
3. Translation Tracking sheet updated</t>
        </is>
      </c>
      <c r="Q33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33" s="4" t="inlineStr">
        <is>
          <t>Use tokens, string resources (EN+KN) and AppConfig only.</t>
        </is>
      </c>
      <c r="S33" s="4" t="inlineStr">
        <is>
          <t>Translation completeness check</t>
        </is>
      </c>
      <c r="T33" s="4" t="inlineStr"/>
      <c r="U33" s="4" t="n">
        <v>5</v>
      </c>
      <c r="V33" s="4" t="inlineStr">
        <is>
          <t>High</t>
        </is>
      </c>
      <c r="W33" s="4" t="inlineStr">
        <is>
          <t>Medium</t>
        </is>
      </c>
      <c r="X33" s="4" t="inlineStr">
        <is>
          <t>Accessibility, Localization &amp; i18n Engineer</t>
        </is>
      </c>
      <c r="Y33" s="4" t="inlineStr">
        <is>
          <t>Yes</t>
        </is>
      </c>
      <c r="Z33" s="4" t="inlineStr">
        <is>
          <t>Low</t>
        </is>
      </c>
      <c r="AA33" s="4" t="inlineStr">
        <is>
          <t>feature/LS-043-kannada-ui-strings-draft-glossary</t>
        </is>
      </c>
      <c r="AB33" s="4" t="inlineStr"/>
      <c r="AC33" s="4" t="inlineStr"/>
      <c r="AD33" s="4" t="inlineStr">
        <is>
          <t>To Do</t>
        </is>
      </c>
      <c r="AE33" s="4" t="inlineStr">
        <is>
          <t>Project owner (human)</t>
        </is>
      </c>
      <c r="AF33" s="4" t="inlineStr">
        <is>
          <t>Awaiting Approval C</t>
        </is>
      </c>
      <c r="AG33" s="4" t="inlineStr"/>
      <c r="AH33" s="4" t="inlineStr">
        <is>
          <t>New strings</t>
        </is>
      </c>
      <c r="AI33" s="4" t="inlineStr">
        <is>
          <t>Missing</t>
        </is>
      </c>
      <c r="AJ33" s="4" t="inlineStr"/>
      <c r="AK33" s="4" t="inlineStr">
        <is>
          <t>NFR-02</t>
        </is>
      </c>
      <c r="AL33" s="22">
        <f>AD33&amp;"|"&amp;COUNTIF(AD$2:AD33,AD33)</f>
        <v/>
      </c>
    </row>
    <row r="34" ht="85" customHeight="1">
      <c r="A34" s="17" t="inlineStr">
        <is>
          <t>LS-044</t>
        </is>
      </c>
      <c r="B34" s="4" t="inlineStr">
        <is>
          <t>Task</t>
        </is>
      </c>
      <c r="C34" s="4" t="inlineStr">
        <is>
          <t>LS-EPIC-14</t>
        </is>
      </c>
      <c r="D34" s="4" t="inlineStr">
        <is>
          <t>Kannada mock story content</t>
        </is>
      </c>
      <c r="E34" s="4" t="inlineStr">
        <is>
          <t>Kannada titles, synopses, lessons, reader pages for the six design stories and notifications; stable IDs.</t>
        </is>
      </c>
      <c r="F34" s="4" t="inlineStr">
        <is>
          <t>–</t>
        </is>
      </c>
      <c r="G34" s="4" t="inlineStr">
        <is>
          <t>Reach Kannada-speaking families</t>
        </is>
      </c>
      <c r="H34" s="4" t="inlineStr">
        <is>
          <t>High</t>
        </is>
      </c>
      <c r="I34" s="4" t="inlineStr">
        <is>
          <t>Must</t>
        </is>
      </c>
      <c r="J34" s="4" t="inlineStr">
        <is>
          <t>P4</t>
        </is>
      </c>
      <c r="K34" s="4" t="inlineStr">
        <is>
          <t>:data assets</t>
        </is>
      </c>
      <c r="L34" s="5" t="inlineStr">
        <is>
          <t>SCR-06, SCR-09, SCR-10</t>
        </is>
      </c>
      <c r="M34" s="5" t="inlineStr">
        <is>
          <t>SCR-06 Story Detail → 22-story-detail.jpg
SCR-09 Story Ready → 10-story-ready.jpg
SCR-10 Reader → 11-reader.jpg</t>
        </is>
      </c>
      <c r="N34" s="4" t="inlineStr">
        <is>
          <t>LS-036</t>
        </is>
      </c>
      <c r="O34" s="4" t="inlineStr">
        <is>
          <t>Blocks: LS-047
Blocked by: LS-036</t>
        </is>
      </c>
      <c r="P34" s="4" t="inlineStr">
        <is>
          <t>1. All six stories readable in KN
2. One deliberate gap tests EN fallback (test data only)</t>
        </is>
      </c>
      <c r="Q34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34" s="4" t="inlineStr">
        <is>
          <t>Use tokens, string resources (EN+KN) and AppConfig only.</t>
        </is>
      </c>
      <c r="S34" s="4" t="inlineStr">
        <is>
          <t>Unit: content loader per locale</t>
        </is>
      </c>
      <c r="T34" s="4" t="inlineStr"/>
      <c r="U34" s="4" t="n">
        <v>3</v>
      </c>
      <c r="V34" s="4" t="inlineStr">
        <is>
          <t>Medium</t>
        </is>
      </c>
      <c r="W34" s="4" t="inlineStr">
        <is>
          <t>Medium</t>
        </is>
      </c>
      <c r="X34" s="4" t="inlineStr">
        <is>
          <t>Accessibility, Localization &amp; i18n Engineer</t>
        </is>
      </c>
      <c r="Y34" s="4" t="inlineStr">
        <is>
          <t>Yes</t>
        </is>
      </c>
      <c r="Z34" s="4" t="inlineStr">
        <is>
          <t>Low</t>
        </is>
      </c>
      <c r="AA34" s="4" t="inlineStr">
        <is>
          <t>feature/LS-044-kannada-mock-story-content</t>
        </is>
      </c>
      <c r="AB34" s="4" t="inlineStr"/>
      <c r="AC34" s="4" t="inlineStr"/>
      <c r="AD34" s="4" t="inlineStr">
        <is>
          <t>To Do</t>
        </is>
      </c>
      <c r="AE34" s="4" t="inlineStr">
        <is>
          <t>Project owner (human)</t>
        </is>
      </c>
      <c r="AF34" s="4" t="inlineStr">
        <is>
          <t>Awaiting Approval C</t>
        </is>
      </c>
      <c r="AG34" s="4" t="inlineStr"/>
      <c r="AH34" s="4" t="inlineStr">
        <is>
          <t>Content</t>
        </is>
      </c>
      <c r="AI34" s="4" t="inlineStr">
        <is>
          <t>Missing</t>
        </is>
      </c>
      <c r="AJ34" s="4" t="inlineStr"/>
      <c r="AK34" s="4" t="inlineStr">
        <is>
          <t>FR-21</t>
        </is>
      </c>
      <c r="AL34" s="22">
        <f>AD34&amp;"|"&amp;COUNTIF(AD$2:AD34,AD34)</f>
        <v/>
      </c>
    </row>
    <row r="35" ht="85" customHeight="1">
      <c r="A35" s="17" t="inlineStr">
        <is>
          <t>LS-045</t>
        </is>
      </c>
      <c r="B35" s="4" t="inlineStr">
        <is>
          <t>Story</t>
        </is>
      </c>
      <c r="C35" s="4" t="inlineStr">
        <is>
          <t>LS-EPIC-14</t>
        </is>
      </c>
      <c r="D35" s="4" t="inlineStr">
        <is>
          <t>Language selection in Setup (registry-driven)</t>
        </is>
      </c>
      <c r="E35" s="4" t="inlineStr">
        <is>
          <t>Setup language select lists only enabled registry languages (English, ಕನ್ನಡ) in their own script; selection sets app language and child default story language per LS-004 decision.</t>
        </is>
      </c>
      <c r="F35" s="4" t="inlineStr">
        <is>
          <t>–</t>
        </is>
      </c>
      <c r="G35" s="4" t="inlineStr">
        <is>
          <t>Reach Kannada-speaking families</t>
        </is>
      </c>
      <c r="H35" s="4" t="inlineStr">
        <is>
          <t>High</t>
        </is>
      </c>
      <c r="I35" s="4" t="inlineStr">
        <is>
          <t>Must</t>
        </is>
      </c>
      <c r="J35" s="4" t="inlineStr">
        <is>
          <t>P3</t>
        </is>
      </c>
      <c r="K35" s="4" t="inlineStr">
        <is>
          <t>:feature:onboarding</t>
        </is>
      </c>
      <c r="L35" s="5" t="inlineStr">
        <is>
          <t>SCR-02</t>
        </is>
      </c>
      <c r="M35" s="5" t="inlineStr">
        <is>
          <t>SCR-02 Setup – Child profile → 04-setup-profile.jpg</t>
        </is>
      </c>
      <c r="N35" s="4" t="inlineStr">
        <is>
          <t>LS-040, LS-061</t>
        </is>
      </c>
      <c r="O35" s="4" t="inlineStr">
        <is>
          <t>Blocks: –
Blocked by: LS-040, LS-061</t>
        </is>
      </c>
      <c r="P35" s="4" t="inlineStr">
        <is>
          <t>1. Only EN/KN shown
2. Choosing ಕನ್ನಡ switches UI immediately
3. Selection persists</t>
        </is>
      </c>
      <c r="Q35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35" s="4" t="inlineStr">
        <is>
          <t>Use tokens, string resources (EN+KN) and AppConfig only. UiState + StateFlow; UiText for messages; preview in EN/KN.</t>
        </is>
      </c>
      <c r="S35" s="4" t="inlineStr">
        <is>
          <t>UI test</t>
        </is>
      </c>
      <c r="T35" s="4" t="inlineStr"/>
      <c r="U35" s="4" t="n">
        <v>2</v>
      </c>
      <c r="V35" s="4" t="inlineStr">
        <is>
          <t>Low</t>
        </is>
      </c>
      <c r="W35" s="4" t="inlineStr">
        <is>
          <t>Low</t>
        </is>
      </c>
      <c r="X35" s="4" t="inlineStr">
        <is>
          <t>Jetpack Compose UI Engineer</t>
        </is>
      </c>
      <c r="Y35" s="4" t="inlineStr">
        <is>
          <t>After deps</t>
        </is>
      </c>
      <c r="Z35" s="4" t="inlineStr">
        <is>
          <t>Low</t>
        </is>
      </c>
      <c r="AA35" s="4" t="inlineStr">
        <is>
          <t>feature/LS-045-language-selection-in-setup-registry</t>
        </is>
      </c>
      <c r="AB35" s="4" t="inlineStr"/>
      <c r="AC35" s="4" t="inlineStr"/>
      <c r="AD35" s="4" t="inlineStr">
        <is>
          <t>To Do</t>
        </is>
      </c>
      <c r="AE35" s="4" t="inlineStr">
        <is>
          <t>Project owner (human)</t>
        </is>
      </c>
      <c r="AF35" s="4" t="inlineStr">
        <is>
          <t>Awaiting Approval C</t>
        </is>
      </c>
      <c r="AG35" s="4" t="inlineStr"/>
      <c r="AH35" s="4" t="inlineStr">
        <is>
          <t>New strings</t>
        </is>
      </c>
      <c r="AI35" s="4" t="inlineStr">
        <is>
          <t>Missing</t>
        </is>
      </c>
      <c r="AJ35" s="4" t="inlineStr"/>
      <c r="AK35" s="4" t="inlineStr">
        <is>
          <t>FR-20</t>
        </is>
      </c>
      <c r="AL35" s="22">
        <f>AD35&amp;"|"&amp;COUNTIF(AD$2:AD35,AD35)</f>
        <v/>
      </c>
    </row>
    <row r="36" ht="85" customHeight="1">
      <c r="A36" s="17" t="inlineStr">
        <is>
          <t>LS-046</t>
        </is>
      </c>
      <c r="B36" s="4" t="inlineStr">
        <is>
          <t>Story</t>
        </is>
      </c>
      <c r="C36" s="4" t="inlineStr">
        <is>
          <t>LS-EPIC-14</t>
        </is>
      </c>
      <c r="D36" s="4" t="inlineStr">
        <is>
          <t>Language preferences screen (from Profile)</t>
        </is>
      </c>
      <c r="E36" s="4" t="inlineStr">
        <is>
          <t>New simple screen (design missing – SCR-20) listing registry languages with check; optionally separate story-language default per LS-004.</t>
        </is>
      </c>
      <c r="F36" s="4" t="inlineStr">
        <is>
          <t>–</t>
        </is>
      </c>
      <c r="G36" s="4" t="inlineStr">
        <is>
          <t>Reach Kannada-speaking families</t>
        </is>
      </c>
      <c r="H36" s="4" t="inlineStr">
        <is>
          <t>High</t>
        </is>
      </c>
      <c r="I36" s="4" t="inlineStr">
        <is>
          <t>Must</t>
        </is>
      </c>
      <c r="J36" s="4" t="inlineStr">
        <is>
          <t>P6</t>
        </is>
      </c>
      <c r="K36" s="4" t="inlineStr">
        <is>
          <t>:feature:settings</t>
        </is>
      </c>
      <c r="L36" s="5" t="inlineStr">
        <is>
          <t>SCR-20, SCR-13</t>
        </is>
      </c>
      <c r="M36" s="5" t="inlineStr">
        <is>
          <t>SCR-20 Language preferences → no design (missing)
SCR-13 Profile (settings hub) → 15-profile-settings.jpg</t>
        </is>
      </c>
      <c r="N36" s="4" t="inlineStr">
        <is>
          <t>LS-004, LS-040, LS-110</t>
        </is>
      </c>
      <c r="O36" s="4" t="inlineStr">
        <is>
          <t>Blocks: –
Blocked by: LS-004, LS-040, LS-110</t>
        </is>
      </c>
      <c r="P36" s="4" t="inlineStr">
        <is>
          <t>1. Reachable from Profile → Language preferences
2. Subtitle on Profile reflects current choice
3. Works with future languages without code change</t>
        </is>
      </c>
      <c r="Q36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36" s="4" t="inlineStr">
        <is>
          <t>Use tokens, string resources (EN+KN) and AppConfig only. UiState + StateFlow; UiText for messages; preview in EN/KN.</t>
        </is>
      </c>
      <c r="S36" s="4" t="inlineStr">
        <is>
          <t>UI test · Screenshot EN/KN</t>
        </is>
      </c>
      <c r="T36" s="4" t="inlineStr"/>
      <c r="U36" s="4" t="n">
        <v>3</v>
      </c>
      <c r="V36" s="4" t="inlineStr">
        <is>
          <t>Medium</t>
        </is>
      </c>
      <c r="W36" s="4" t="inlineStr">
        <is>
          <t>Medium</t>
        </is>
      </c>
      <c r="X36" s="4" t="inlineStr">
        <is>
          <t>Jetpack Compose UI Engineer</t>
        </is>
      </c>
      <c r="Y36" s="4" t="inlineStr">
        <is>
          <t>After deps</t>
        </is>
      </c>
      <c r="Z36" s="4" t="inlineStr">
        <is>
          <t>Low</t>
        </is>
      </c>
      <c r="AA36" s="4" t="inlineStr">
        <is>
          <t>feature/LS-046-language-preferences-screen-from-profile</t>
        </is>
      </c>
      <c r="AB36" s="4" t="inlineStr"/>
      <c r="AC36" s="4" t="inlineStr"/>
      <c r="AD36" s="4" t="inlineStr">
        <is>
          <t>To Do</t>
        </is>
      </c>
      <c r="AE36" s="4" t="inlineStr">
        <is>
          <t>Project owner (human)</t>
        </is>
      </c>
      <c r="AF36" s="4" t="inlineStr">
        <is>
          <t>Awaiting Approval C</t>
        </is>
      </c>
      <c r="AG36" s="4" t="inlineStr"/>
      <c r="AH36" s="4" t="inlineStr">
        <is>
          <t>New strings</t>
        </is>
      </c>
      <c r="AI36" s="4" t="inlineStr">
        <is>
          <t>Missing</t>
        </is>
      </c>
      <c r="AJ36" s="4" t="inlineStr">
        <is>
          <t>Design missing – reuse settings-row pattern; owner to approve.</t>
        </is>
      </c>
      <c r="AK36" s="4" t="inlineStr">
        <is>
          <t>FR-20</t>
        </is>
      </c>
      <c r="AL36" s="22">
        <f>AD36&amp;"|"&amp;COUNTIF(AD$2:AD36,AD36)</f>
        <v/>
      </c>
    </row>
    <row r="37" ht="85" customHeight="1">
      <c r="A37" s="17" t="inlineStr">
        <is>
          <t>LS-047</t>
        </is>
      </c>
      <c r="B37" s="4" t="inlineStr">
        <is>
          <t>Task</t>
        </is>
      </c>
      <c r="C37" s="4" t="inlineStr">
        <is>
          <t>LS-EPIC-14</t>
        </is>
      </c>
      <c r="D37" s="4" t="inlineStr">
        <is>
          <t>Native Kannada review &amp; sign-off</t>
        </is>
      </c>
      <c r="E37" s="4" t="inlineStr">
        <is>
          <t>Fluent Kannada reviewer checks all strings and mock content in context (screenshots), updates statuses to Approved.</t>
        </is>
      </c>
      <c r="F37" s="4" t="inlineStr">
        <is>
          <t>–</t>
        </is>
      </c>
      <c r="G37" s="4" t="inlineStr">
        <is>
          <t>Reach Kannada-speaking families</t>
        </is>
      </c>
      <c r="H37" s="4" t="inlineStr">
        <is>
          <t>High</t>
        </is>
      </c>
      <c r="I37" s="4" t="inlineStr">
        <is>
          <t>Must</t>
        </is>
      </c>
      <c r="J37" s="4" t="inlineStr">
        <is>
          <t>P7</t>
        </is>
      </c>
      <c r="K37" s="4" t="inlineStr">
        <is>
          <t>Resources</t>
        </is>
      </c>
      <c r="L37" s="4" t="inlineStr">
        <is>
          <t>All</t>
        </is>
      </c>
      <c r="M37" s="5" t="inlineStr">
        <is>
          <t>Design pack – all screens (docs/design/screens/)</t>
        </is>
      </c>
      <c r="N37" s="4" t="inlineStr">
        <is>
          <t>LS-043, LS-044, LS-122</t>
        </is>
      </c>
      <c r="O37" s="4" t="inlineStr">
        <is>
          <t>Blocks: LS-133
Blocked by: LS-043, LS-044, LS-122</t>
        </is>
      </c>
      <c r="P37" s="4" t="inlineStr">
        <is>
          <t>1. All KN rows 'Approved'
2. Issues logged and fixed</t>
        </is>
      </c>
      <c r="Q37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37" s="4" t="inlineStr">
        <is>
          <t>Use tokens, string resources (EN+KN) and AppConfig only.</t>
        </is>
      </c>
      <c r="S37" s="4" t="inlineStr">
        <is>
          <t>Manual review</t>
        </is>
      </c>
      <c r="T37" s="4" t="inlineStr"/>
      <c r="U37" s="4" t="n">
        <v>3</v>
      </c>
      <c r="V37" s="4" t="inlineStr">
        <is>
          <t>Medium</t>
        </is>
      </c>
      <c r="W37" s="4" t="inlineStr">
        <is>
          <t>High</t>
        </is>
      </c>
      <c r="X37" s="4" t="inlineStr">
        <is>
          <t>Accessibility, Localization &amp; i18n Engineer</t>
        </is>
      </c>
      <c r="Y37" s="4" t="inlineStr">
        <is>
          <t>After deps</t>
        </is>
      </c>
      <c r="Z37" s="4" t="inlineStr">
        <is>
          <t>Low</t>
        </is>
      </c>
      <c r="AA37" s="4" t="inlineStr">
        <is>
          <t>feature/LS-047-native-kannada-review-sign-off</t>
        </is>
      </c>
      <c r="AB37" s="4" t="inlineStr"/>
      <c r="AC37" s="4" t="inlineStr"/>
      <c r="AD37" s="4" t="inlineStr">
        <is>
          <t>To Do</t>
        </is>
      </c>
      <c r="AE37" s="4" t="inlineStr">
        <is>
          <t>Project owner (human)</t>
        </is>
      </c>
      <c r="AF37" s="4" t="inlineStr">
        <is>
          <t>Awaiting Approval C</t>
        </is>
      </c>
      <c r="AG37" s="4" t="inlineStr"/>
      <c r="AH37" s="4" t="inlineStr">
        <is>
          <t>None</t>
        </is>
      </c>
      <c r="AI37" s="4" t="inlineStr">
        <is>
          <t>N/A</t>
        </is>
      </c>
      <c r="AJ37" s="4" t="inlineStr">
        <is>
          <t>Needs a named reviewer (risk R-12).</t>
        </is>
      </c>
      <c r="AK37" s="4" t="inlineStr">
        <is>
          <t>NFR-02</t>
        </is>
      </c>
      <c r="AL37" s="22">
        <f>AD37&amp;"|"&amp;COUNTIF(AD$2:AD37,AD37)</f>
        <v/>
      </c>
    </row>
    <row r="38" ht="85" customHeight="1">
      <c r="A38" s="17" t="inlineStr">
        <is>
          <t>LS-048</t>
        </is>
      </c>
      <c r="B38" s="4" t="inlineStr">
        <is>
          <t>Task</t>
        </is>
      </c>
      <c r="C38" s="4" t="inlineStr">
        <is>
          <t>LS-EPIC-14</t>
        </is>
      </c>
      <c r="D38" s="4" t="inlineStr">
        <is>
          <t>'How to add a new language' guide + prompt</t>
        </is>
      </c>
      <c r="E38" s="4" t="inlineStr">
        <is>
          <t>docs/localization/adding-a-new-language.md and prompts/20_ADD_NEW_LANGUAGE_PROMPT.md; dry-run with a pseudo language to prove no feature-code change.</t>
        </is>
      </c>
      <c r="F38" s="4" t="inlineStr">
        <is>
          <t>–</t>
        </is>
      </c>
      <c r="G38" s="4" t="inlineStr">
        <is>
          <t>Reach Kannada-speaking families</t>
        </is>
      </c>
      <c r="H38" s="4" t="inlineStr">
        <is>
          <t>Medium</t>
        </is>
      </c>
      <c r="I38" s="4" t="inlineStr">
        <is>
          <t>Must</t>
        </is>
      </c>
      <c r="J38" s="4" t="inlineStr">
        <is>
          <t>P8</t>
        </is>
      </c>
      <c r="K38" s="4" t="inlineStr">
        <is>
          <t>Docs</t>
        </is>
      </c>
      <c r="L38" s="4" t="inlineStr">
        <is>
          <t>–</t>
        </is>
      </c>
      <c r="M38" s="4" t="inlineStr">
        <is>
          <t>–</t>
        </is>
      </c>
      <c r="N38" s="4" t="inlineStr">
        <is>
          <t>LS-040, LS-041</t>
        </is>
      </c>
      <c r="O38" s="4" t="inlineStr">
        <is>
          <t>Blocks: –
Blocked by: LS-040, LS-041</t>
        </is>
      </c>
      <c r="P38" s="4" t="inlineStr">
        <is>
          <t>1. Dry run adds language with resources + registry + locales_config only</t>
        </is>
      </c>
      <c r="Q38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38" s="4" t="inlineStr">
        <is>
          <t>Use tokens, string resources (EN+KN) and AppConfig only.</t>
        </is>
      </c>
      <c r="S38" s="4" t="inlineStr">
        <is>
          <t>Dry-run evidence</t>
        </is>
      </c>
      <c r="T38" s="4" t="inlineStr"/>
      <c r="U38" s="4" t="n">
        <v>1</v>
      </c>
      <c r="V38" s="4" t="inlineStr">
        <is>
          <t>Low</t>
        </is>
      </c>
      <c r="W38" s="4" t="inlineStr">
        <is>
          <t>Low</t>
        </is>
      </c>
      <c r="X38" s="4" t="inlineStr">
        <is>
          <t>Accessibility, Localization &amp; i18n Engineer</t>
        </is>
      </c>
      <c r="Y38" s="4" t="inlineStr">
        <is>
          <t>Yes</t>
        </is>
      </c>
      <c r="Z38" s="4" t="inlineStr">
        <is>
          <t>Low</t>
        </is>
      </c>
      <c r="AA38" s="4" t="inlineStr">
        <is>
          <t>feature/LS-048-how-to-add-a-new</t>
        </is>
      </c>
      <c r="AB38" s="4" t="inlineStr"/>
      <c r="AC38" s="4" t="inlineStr"/>
      <c r="AD38" s="4" t="inlineStr">
        <is>
          <t>To Do</t>
        </is>
      </c>
      <c r="AE38" s="4" t="inlineStr">
        <is>
          <t>Project owner (human)</t>
        </is>
      </c>
      <c r="AF38" s="4" t="inlineStr">
        <is>
          <t>Awaiting Approval B</t>
        </is>
      </c>
      <c r="AG38" s="4" t="inlineStr"/>
      <c r="AH38" s="4" t="inlineStr">
        <is>
          <t>None</t>
        </is>
      </c>
      <c r="AI38" s="4" t="inlineStr">
        <is>
          <t>N/A</t>
        </is>
      </c>
      <c r="AJ38" s="4" t="inlineStr"/>
      <c r="AK38" s="4" t="inlineStr">
        <is>
          <t>NFR-03</t>
        </is>
      </c>
      <c r="AL38" s="22">
        <f>AD38&amp;"|"&amp;COUNTIF(AD$2:AD38,AD38)</f>
        <v/>
      </c>
    </row>
    <row r="39" ht="85" customHeight="1">
      <c r="A39" s="17" t="inlineStr">
        <is>
          <t>LS-050</t>
        </is>
      </c>
      <c r="B39" s="4" t="inlineStr">
        <is>
          <t>Story</t>
        </is>
      </c>
      <c r="C39" s="4" t="inlineStr">
        <is>
          <t>LS-EPIC-04</t>
        </is>
      </c>
      <c r="D39" s="4" t="inlineStr">
        <is>
          <t>Navigation graph with typed routes for all screens</t>
        </is>
      </c>
      <c r="E39" s="4" t="inlineStr">
        <is>
          <t>Typed destinations for SCR-01…SCR-22; bottom-nav tabs with saved state; back behaviour per screen spec; deep-link targets for notifications.</t>
        </is>
      </c>
      <c r="F39" s="4" t="inlineStr">
        <is>
          <t>–</t>
        </is>
      </c>
      <c r="G39" s="4" t="inlineStr">
        <is>
          <t>Coherent app structure</t>
        </is>
      </c>
      <c r="H39" s="4" t="inlineStr">
        <is>
          <t>Highest</t>
        </is>
      </c>
      <c r="I39" s="4" t="inlineStr">
        <is>
          <t>Must</t>
        </is>
      </c>
      <c r="J39" s="4" t="inlineStr">
        <is>
          <t>P3</t>
        </is>
      </c>
      <c r="K39" s="4" t="inlineStr">
        <is>
          <t>:app / navigation</t>
        </is>
      </c>
      <c r="L39" s="4" t="inlineStr">
        <is>
          <t>All</t>
        </is>
      </c>
      <c r="M39" s="5" t="inlineStr">
        <is>
          <t>Design pack – all screens (docs/design/screens/)</t>
        </is>
      </c>
      <c r="N39" s="4" t="inlineStr">
        <is>
          <t>LS-019, LS-031</t>
        </is>
      </c>
      <c r="O39" s="4" t="inlineStr">
        <is>
          <t>Blocks: LS-051, LS-052, LS-060, LS-061, LS-070, LS-071, LS-073, LS-074, LS-080, LS-090, LS-110, LS-112
Blocked by: LS-019, LS-031</t>
        </is>
      </c>
      <c r="P39" s="4" t="inlineStr">
        <is>
          <t>1. All prototype navigation paths work
2. Back from each screen matches spec
3. Routes defined in one place</t>
        </is>
      </c>
      <c r="Q39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39" s="4" t="inlineStr">
        <is>
          <t>Shared files: AppNavHost.kt, Destinations.kt Use tokens, string resources (EN+KN) and AppConfig only.</t>
        </is>
      </c>
      <c r="S39" s="4" t="inlineStr">
        <is>
          <t>UI navigation tests</t>
        </is>
      </c>
      <c r="T39" s="4" t="inlineStr"/>
      <c r="U39" s="4" t="n">
        <v>5</v>
      </c>
      <c r="V39" s="4" t="inlineStr">
        <is>
          <t>High</t>
        </is>
      </c>
      <c r="W39" s="4" t="inlineStr">
        <is>
          <t>Low</t>
        </is>
      </c>
      <c r="X39" s="4" t="inlineStr">
        <is>
          <t>Navigation &amp; Application State Engineer</t>
        </is>
      </c>
      <c r="Y39" s="4" t="inlineStr">
        <is>
          <t>No</t>
        </is>
      </c>
      <c r="Z39" s="4" t="inlineStr">
        <is>
          <t>High</t>
        </is>
      </c>
      <c r="AA39" s="4" t="inlineStr">
        <is>
          <t>feature/LS-050-navigation-graph-with-typed-routes</t>
        </is>
      </c>
      <c r="AB39" s="4" t="inlineStr"/>
      <c r="AC39" s="4" t="inlineStr"/>
      <c r="AD39" s="4" t="inlineStr">
        <is>
          <t>To Do</t>
        </is>
      </c>
      <c r="AE39" s="4" t="inlineStr">
        <is>
          <t>Project owner (human)</t>
        </is>
      </c>
      <c r="AF39" s="4" t="inlineStr">
        <is>
          <t>Awaiting Approval C</t>
        </is>
      </c>
      <c r="AG39" s="4" t="inlineStr"/>
      <c r="AH39" s="4" t="inlineStr">
        <is>
          <t>None</t>
        </is>
      </c>
      <c r="AI39" s="4" t="inlineStr">
        <is>
          <t>N/A</t>
        </is>
      </c>
      <c r="AJ39" s="4" t="inlineStr"/>
      <c r="AK39" s="4" t="inlineStr">
        <is>
          <t>NFR-01</t>
        </is>
      </c>
      <c r="AL39" s="22">
        <f>AD39&amp;"|"&amp;COUNTIF(AD$2:AD39,AD39)</f>
        <v/>
      </c>
    </row>
    <row r="40" ht="85" customHeight="1">
      <c r="A40" s="17" t="inlineStr">
        <is>
          <t>LS-051</t>
        </is>
      </c>
      <c r="B40" s="4" t="inlineStr">
        <is>
          <t>Story</t>
        </is>
      </c>
      <c r="C40" s="4" t="inlineStr">
        <is>
          <t>LS-EPIC-04</t>
        </is>
      </c>
      <c r="D40" s="4" t="inlineStr">
        <is>
          <t>Splash screen &amp; first-run routing</t>
        </is>
      </c>
      <c r="E40" s="4" t="inlineStr">
        <is>
          <t>core-splashscreen; first-run flag routes to Onboarding else Home.</t>
        </is>
      </c>
      <c r="F40" s="4" t="inlineStr">
        <is>
          <t>–</t>
        </is>
      </c>
      <c r="G40" s="4" t="inlineStr">
        <is>
          <t>Coherent app structure</t>
        </is>
      </c>
      <c r="H40" s="4" t="inlineStr">
        <is>
          <t>High</t>
        </is>
      </c>
      <c r="I40" s="4" t="inlineStr">
        <is>
          <t>Must</t>
        </is>
      </c>
      <c r="J40" s="4" t="inlineStr">
        <is>
          <t>P3</t>
        </is>
      </c>
      <c r="K40" s="4" t="inlineStr">
        <is>
          <t>:app</t>
        </is>
      </c>
      <c r="L40" s="5" t="inlineStr">
        <is>
          <t>SCR-19</t>
        </is>
      </c>
      <c r="M40" s="5" t="inlineStr">
        <is>
          <t>SCR-19 Splash / launch → no design (missing)</t>
        </is>
      </c>
      <c r="N40" s="4" t="inlineStr">
        <is>
          <t>LS-004, LS-050, LS-038</t>
        </is>
      </c>
      <c r="O40" s="4" t="inlineStr">
        <is>
          <t>Blocks: –
Blocked by: LS-004, LS-050, LS-038</t>
        </is>
      </c>
      <c r="P40" s="4" t="inlineStr">
        <is>
          <t>1. First launch → Onboarding; later → Home
2. No blank frame</t>
        </is>
      </c>
      <c r="Q40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40" s="4" t="inlineStr">
        <is>
          <t>Use tokens, string resources (EN+KN) and AppConfig only.</t>
        </is>
      </c>
      <c r="S40" s="4" t="inlineStr">
        <is>
          <t>UI test with cleared data</t>
        </is>
      </c>
      <c r="T40" s="4" t="inlineStr"/>
      <c r="U40" s="4" t="n">
        <v>2</v>
      </c>
      <c r="V40" s="4" t="inlineStr">
        <is>
          <t>Low</t>
        </is>
      </c>
      <c r="W40" s="4" t="inlineStr">
        <is>
          <t>Low</t>
        </is>
      </c>
      <c r="X40" s="4" t="inlineStr">
        <is>
          <t>Navigation &amp; Application State Engineer</t>
        </is>
      </c>
      <c r="Y40" s="4" t="inlineStr">
        <is>
          <t>After deps</t>
        </is>
      </c>
      <c r="Z40" s="4" t="inlineStr">
        <is>
          <t>Low</t>
        </is>
      </c>
      <c r="AA40" s="4" t="inlineStr">
        <is>
          <t>feature/LS-051-splash-screen-first-run-routing</t>
        </is>
      </c>
      <c r="AB40" s="4" t="inlineStr"/>
      <c r="AC40" s="4" t="inlineStr"/>
      <c r="AD40" s="4" t="inlineStr">
        <is>
          <t>To Do</t>
        </is>
      </c>
      <c r="AE40" s="4" t="inlineStr">
        <is>
          <t>Project owner (human)</t>
        </is>
      </c>
      <c r="AF40" s="4" t="inlineStr">
        <is>
          <t>Awaiting Approval C</t>
        </is>
      </c>
      <c r="AG40" s="4" t="inlineStr"/>
      <c r="AH40" s="4" t="inlineStr">
        <is>
          <t>None</t>
        </is>
      </c>
      <c r="AI40" s="4" t="inlineStr">
        <is>
          <t>N/A</t>
        </is>
      </c>
      <c r="AJ40" s="4" t="inlineStr">
        <is>
          <t>Design missing – needs owner approval of splash spec.</t>
        </is>
      </c>
      <c r="AK40" s="4" t="inlineStr">
        <is>
          <t>FR-25</t>
        </is>
      </c>
      <c r="AL40" s="22">
        <f>AD40&amp;"|"&amp;COUNTIF(AD$2:AD40,AD40)</f>
        <v/>
      </c>
    </row>
    <row r="41" ht="85" customHeight="1">
      <c r="A41" s="17" t="inlineStr">
        <is>
          <t>LS-052</t>
        </is>
      </c>
      <c r="B41" s="4" t="inlineStr">
        <is>
          <t>Task</t>
        </is>
      </c>
      <c r="C41" s="4" t="inlineStr">
        <is>
          <t>LS-EPIC-04</t>
        </is>
      </c>
      <c r="D41" s="4" t="inlineStr">
        <is>
          <t>Edge-to-edge &amp; system bar styling</t>
        </is>
      </c>
      <c r="E41" s="4" t="inlineStr">
        <is>
          <t>Dark icons on cream screens, light icons on night screens (Onboarding, Generating, Player, Subscription hero).</t>
        </is>
      </c>
      <c r="F41" s="4" t="inlineStr">
        <is>
          <t>–</t>
        </is>
      </c>
      <c r="G41" s="4" t="inlineStr">
        <is>
          <t>Coherent app structure</t>
        </is>
      </c>
      <c r="H41" s="4" t="inlineStr">
        <is>
          <t>Medium</t>
        </is>
      </c>
      <c r="I41" s="4" t="inlineStr">
        <is>
          <t>Must</t>
        </is>
      </c>
      <c r="J41" s="4" t="inlineStr">
        <is>
          <t>P3</t>
        </is>
      </c>
      <c r="K41" s="4" t="inlineStr">
        <is>
          <t>:core:ui</t>
        </is>
      </c>
      <c r="L41" s="4" t="inlineStr">
        <is>
          <t>All</t>
        </is>
      </c>
      <c r="M41" s="5" t="inlineStr">
        <is>
          <t>Design pack – all screens (docs/design/screens/)</t>
        </is>
      </c>
      <c r="N41" s="4" t="inlineStr">
        <is>
          <t>LS-050</t>
        </is>
      </c>
      <c r="O41" s="4" t="inlineStr">
        <is>
          <t>Blocks: –
Blocked by: LS-050</t>
        </is>
      </c>
      <c r="P41" s="4" t="inlineStr">
        <is>
          <t>1. Status/nav bar icons legible on every screen</t>
        </is>
      </c>
      <c r="Q41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41" s="4" t="inlineStr">
        <is>
          <t>Use tokens, string resources (EN+KN) and AppConfig only.</t>
        </is>
      </c>
      <c r="S41" s="4" t="inlineStr">
        <is>
          <t>Screenshot per screen</t>
        </is>
      </c>
      <c r="T41" s="4" t="inlineStr"/>
      <c r="U41" s="4" t="n">
        <v>2</v>
      </c>
      <c r="V41" s="4" t="inlineStr">
        <is>
          <t>Low</t>
        </is>
      </c>
      <c r="W41" s="4" t="inlineStr">
        <is>
          <t>Low</t>
        </is>
      </c>
      <c r="X41" s="4" t="inlineStr">
        <is>
          <t>Jetpack Compose UI Engineer</t>
        </is>
      </c>
      <c r="Y41" s="4" t="inlineStr">
        <is>
          <t>After deps</t>
        </is>
      </c>
      <c r="Z41" s="4" t="inlineStr">
        <is>
          <t>Low</t>
        </is>
      </c>
      <c r="AA41" s="4" t="inlineStr">
        <is>
          <t>feature/LS-052-edge-to-edge-system-bar</t>
        </is>
      </c>
      <c r="AB41" s="4" t="inlineStr"/>
      <c r="AC41" s="4" t="inlineStr"/>
      <c r="AD41" s="4" t="inlineStr">
        <is>
          <t>To Do</t>
        </is>
      </c>
      <c r="AE41" s="4" t="inlineStr">
        <is>
          <t>Project owner (human)</t>
        </is>
      </c>
      <c r="AF41" s="4" t="inlineStr">
        <is>
          <t>Awaiting Approval C</t>
        </is>
      </c>
      <c r="AG41" s="4" t="inlineStr"/>
      <c r="AH41" s="4" t="inlineStr">
        <is>
          <t>None</t>
        </is>
      </c>
      <c r="AI41" s="4" t="inlineStr">
        <is>
          <t>N/A</t>
        </is>
      </c>
      <c r="AJ41" s="4" t="inlineStr"/>
      <c r="AK41" s="4" t="inlineStr"/>
      <c r="AL41" s="22">
        <f>AD41&amp;"|"&amp;COUNTIF(AD$2:AD41,AD41)</f>
        <v/>
      </c>
    </row>
    <row r="42" ht="85" customHeight="1">
      <c r="A42" s="17" t="inlineStr">
        <is>
          <t>LS-060</t>
        </is>
      </c>
      <c r="B42" s="4" t="inlineStr">
        <is>
          <t>Story</t>
        </is>
      </c>
      <c r="C42" s="4" t="inlineStr">
        <is>
          <t>LS-EPIC-05</t>
        </is>
      </c>
      <c r="D42" s="4" t="inlineStr">
        <is>
          <t>Onboarding – 3 slides</t>
        </is>
      </c>
      <c r="E42" s="4" t="inlineStr">
        <is>
          <t>Implement SCR-01: night scene illustration, twinkle animation (reduced-motion aware), sheet with eyebrow/title/body, pager, Continue / Get Started, Skip.</t>
        </is>
      </c>
      <c r="F42" s="4" t="inlineStr">
        <is>
          <t>As a new parent, I want a short intro so I understand what LittleStory does.</t>
        </is>
      </c>
      <c r="G42" s="4" t="inlineStr">
        <is>
          <t>Personalised first-run experience</t>
        </is>
      </c>
      <c r="H42" s="4" t="inlineStr">
        <is>
          <t>High</t>
        </is>
      </c>
      <c r="I42" s="4" t="inlineStr">
        <is>
          <t>Must</t>
        </is>
      </c>
      <c r="J42" s="4" t="inlineStr">
        <is>
          <t>P3</t>
        </is>
      </c>
      <c r="K42" s="4" t="inlineStr">
        <is>
          <t>:feature:onboarding</t>
        </is>
      </c>
      <c r="L42" s="5" t="inlineStr">
        <is>
          <t>SCR-01</t>
        </is>
      </c>
      <c r="M42" s="5" t="inlineStr">
        <is>
          <t>SCR-01 Onboarding (3 slides) → 01-onboarding-1-every-day-has-a-story.jpg, 02-onboarding-2-your-child-the-hero.jpg, 03-onboarding-3-listen-dream-repeat.jpg</t>
        </is>
      </c>
      <c r="N42" s="4" t="inlineStr">
        <is>
          <t>LS-050, LS-017, LS-014</t>
        </is>
      </c>
      <c r="O42" s="4" t="inlineStr">
        <is>
          <t>Blocks: LS-121, LS-122, LS-123, LS-125, LS-126
Blocked by: LS-050, LS-017, LS-014</t>
        </is>
      </c>
      <c r="P42" s="4" t="inlineStr">
        <is>
          <t>1. Copy matches design in EN; KN present
2. Continue advances; slide 3 shows Get Started → Setup
3. Skip → Setup
4. Pager announced</t>
        </is>
      </c>
      <c r="Q42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42" s="4" t="inlineStr">
        <is>
          <t>Use tokens, string resources (EN+KN) and AppConfig only. UiState + StateFlow; UiText for messages; preview in EN/KN.</t>
        </is>
      </c>
      <c r="S42" s="4" t="inlineStr">
        <is>
          <t>UI test flow · Screenshot 3 slides EN/KN</t>
        </is>
      </c>
      <c r="T42" s="4" t="inlineStr"/>
      <c r="U42" s="4" t="n">
        <v>3</v>
      </c>
      <c r="V42" s="4" t="inlineStr">
        <is>
          <t>Medium</t>
        </is>
      </c>
      <c r="W42" s="4" t="inlineStr">
        <is>
          <t>Low</t>
        </is>
      </c>
      <c r="X42" s="4" t="inlineStr">
        <is>
          <t>Jetpack Compose UI Engineer</t>
        </is>
      </c>
      <c r="Y42" s="4" t="inlineStr">
        <is>
          <t>Yes</t>
        </is>
      </c>
      <c r="Z42" s="4" t="inlineStr">
        <is>
          <t>Low</t>
        </is>
      </c>
      <c r="AA42" s="4" t="inlineStr">
        <is>
          <t>feature/LS-060-onboarding-3-slides</t>
        </is>
      </c>
      <c r="AB42" s="4" t="inlineStr"/>
      <c r="AC42" s="4" t="inlineStr"/>
      <c r="AD42" s="4" t="inlineStr">
        <is>
          <t>To Do</t>
        </is>
      </c>
      <c r="AE42" s="4" t="inlineStr">
        <is>
          <t>Project owner (human)</t>
        </is>
      </c>
      <c r="AF42" s="4" t="inlineStr">
        <is>
          <t>Awaiting Approval C</t>
        </is>
      </c>
      <c r="AG42" s="4" t="inlineStr"/>
      <c r="AH42" s="4" t="inlineStr">
        <is>
          <t>New strings</t>
        </is>
      </c>
      <c r="AI42" s="4" t="inlineStr">
        <is>
          <t>Missing</t>
        </is>
      </c>
      <c r="AJ42" s="4" t="inlineStr"/>
      <c r="AK42" s="4" t="inlineStr">
        <is>
          <t>FR-01</t>
        </is>
      </c>
      <c r="AL42" s="22">
        <f>AD42&amp;"|"&amp;COUNTIF(AD$2:AD42,AD42)</f>
        <v/>
      </c>
    </row>
    <row r="43" ht="85" customHeight="1">
      <c r="A43" s="17" t="inlineStr">
        <is>
          <t>LS-061</t>
        </is>
      </c>
      <c r="B43" s="4" t="inlineStr">
        <is>
          <t>Story</t>
        </is>
      </c>
      <c r="C43" s="4" t="inlineStr">
        <is>
          <t>LS-EPIC-05</t>
        </is>
      </c>
      <c r="D43" s="4" t="inlineStr">
        <is>
          <t>Setup – child profile form</t>
        </is>
      </c>
      <c r="E43" s="4" t="inlineStr">
        <is>
          <t>Implement SCR-02 with ViewModel: fields, avatar picker, age 3–12, language (LS-045), interests multi-select, duration segmented, sticky CTA, Skip for now. Validation rules per LS-004.</t>
        </is>
      </c>
      <c r="F43" s="4" t="inlineStr">
        <is>
          <t>As a parent, I want to set up my child's profile so stories feel personal.</t>
        </is>
      </c>
      <c r="G43" s="4" t="inlineStr">
        <is>
          <t>Personalised first-run experience</t>
        </is>
      </c>
      <c r="H43" s="4" t="inlineStr">
        <is>
          <t>High</t>
        </is>
      </c>
      <c r="I43" s="4" t="inlineStr">
        <is>
          <t>Must</t>
        </is>
      </c>
      <c r="J43" s="4" t="inlineStr">
        <is>
          <t>P3</t>
        </is>
      </c>
      <c r="K43" s="4" t="inlineStr">
        <is>
          <t>:feature:onboarding</t>
        </is>
      </c>
      <c r="L43" s="5" t="inlineStr">
        <is>
          <t>SCR-02</t>
        </is>
      </c>
      <c r="M43" s="5" t="inlineStr">
        <is>
          <t>SCR-02 Setup – Child profile → 04-setup-profile.jpg</t>
        </is>
      </c>
      <c r="N43" s="4" t="inlineStr">
        <is>
          <t>LS-016, LS-062, LS-050</t>
        </is>
      </c>
      <c r="O43" s="4" t="inlineStr">
        <is>
          <t>Blocks: LS-045, LS-063, LS-121, LS-122, LS-123, LS-125, LS-126
Blocked by: LS-016, LS-062, LS-050</t>
        </is>
      </c>
      <c r="P43" s="4" t="inlineStr">
        <is>
          <t>1. Defaults as designed for demo data only (empty for real first run – decision)
2. CTA text includes child name via format arg
3. Profile saved and Home shows name</t>
        </is>
      </c>
      <c r="Q43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43" s="4" t="inlineStr">
        <is>
          <t>Use tokens, string resources (EN+KN) and AppConfig only. UiState + StateFlow; UiText for messages; preview in EN/KN.</t>
        </is>
      </c>
      <c r="S43" s="4" t="inlineStr">
        <is>
          <t>ViewModel unit tests · UI test · Screenshot EN/KN</t>
        </is>
      </c>
      <c r="T43" s="4" t="inlineStr"/>
      <c r="U43" s="4" t="n">
        <v>5</v>
      </c>
      <c r="V43" s="4" t="inlineStr">
        <is>
          <t>High</t>
        </is>
      </c>
      <c r="W43" s="4" t="inlineStr">
        <is>
          <t>Low</t>
        </is>
      </c>
      <c r="X43" s="4" t="inlineStr">
        <is>
          <t>Jetpack Compose UI Engineer</t>
        </is>
      </c>
      <c r="Y43" s="4" t="inlineStr">
        <is>
          <t>After deps</t>
        </is>
      </c>
      <c r="Z43" s="4" t="inlineStr">
        <is>
          <t>Low</t>
        </is>
      </c>
      <c r="AA43" s="4" t="inlineStr">
        <is>
          <t>feature/LS-061-setup-child-profile-form</t>
        </is>
      </c>
      <c r="AB43" s="4" t="inlineStr"/>
      <c r="AC43" s="4" t="inlineStr"/>
      <c r="AD43" s="4" t="inlineStr">
        <is>
          <t>To Do</t>
        </is>
      </c>
      <c r="AE43" s="4" t="inlineStr">
        <is>
          <t>Project owner (human)</t>
        </is>
      </c>
      <c r="AF43" s="4" t="inlineStr">
        <is>
          <t>Awaiting Approval C</t>
        </is>
      </c>
      <c r="AG43" s="4" t="inlineStr"/>
      <c r="AH43" s="4" t="inlineStr">
        <is>
          <t>New strings</t>
        </is>
      </c>
      <c r="AI43" s="4" t="inlineStr">
        <is>
          <t>Missing</t>
        </is>
      </c>
      <c r="AJ43" s="4" t="inlineStr"/>
      <c r="AK43" s="4" t="inlineStr">
        <is>
          <t>FR-02, NFR-07</t>
        </is>
      </c>
      <c r="AL43" s="22">
        <f>AD43&amp;"|"&amp;COUNTIF(AD$2:AD43,AD43)</f>
        <v/>
      </c>
    </row>
    <row r="44" ht="85" customHeight="1">
      <c r="A44" s="17" t="inlineStr">
        <is>
          <t>LS-062</t>
        </is>
      </c>
      <c r="B44" s="4" t="inlineStr">
        <is>
          <t>Story</t>
        </is>
      </c>
      <c r="C44" s="4" t="inlineStr">
        <is>
          <t>LS-EPIC-05</t>
        </is>
      </c>
      <c r="D44" s="4" t="inlineStr">
        <is>
          <t>Profile repository &amp; active-child state</t>
        </is>
      </c>
      <c r="E44" s="4" t="inlineStr">
        <is>
          <t>ChildProfileRepository (Room/DataStore), active child flow consumed by Home, Create, Player labels.</t>
        </is>
      </c>
      <c r="F44" s="4" t="inlineStr">
        <is>
          <t>–</t>
        </is>
      </c>
      <c r="G44" s="4" t="inlineStr">
        <is>
          <t>Personalised first-run experience</t>
        </is>
      </c>
      <c r="H44" s="4" t="inlineStr">
        <is>
          <t>High</t>
        </is>
      </c>
      <c r="I44" s="4" t="inlineStr">
        <is>
          <t>Must</t>
        </is>
      </c>
      <c r="J44" s="4" t="inlineStr">
        <is>
          <t>P3</t>
        </is>
      </c>
      <c r="K44" s="4" t="inlineStr">
        <is>
          <t>:data</t>
        </is>
      </c>
      <c r="L44" s="5" t="inlineStr">
        <is>
          <t>SCR-02, SCR-14</t>
        </is>
      </c>
      <c r="M44" s="5" t="inlineStr">
        <is>
          <t>SCR-02 Setup – Child profile → 04-setup-profile.jpg
SCR-14 Child Profiles → 20-child-profiles.jpg</t>
        </is>
      </c>
      <c r="N44" s="4" t="inlineStr">
        <is>
          <t>LS-038</t>
        </is>
      </c>
      <c r="O44" s="4" t="inlineStr">
        <is>
          <t>Blocks: LS-061, LS-063, LS-070, LS-080, LS-110, LS-121, LS-122, LS-123, LS-125, LS-126
Blocked by: LS-038</t>
        </is>
      </c>
      <c r="P44" s="4" t="inlineStr">
        <is>
          <t>1. Active child persists
2. Switching child updates all screens</t>
        </is>
      </c>
      <c r="Q44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44" s="4" t="inlineStr">
        <is>
          <t>Use tokens, string resources (EN+KN) and AppConfig only.</t>
        </is>
      </c>
      <c r="S44" s="4" t="inlineStr">
        <is>
          <t>Unit + Room tests</t>
        </is>
      </c>
      <c r="T44" s="4" t="inlineStr"/>
      <c r="U44" s="4" t="n">
        <v>3</v>
      </c>
      <c r="V44" s="4" t="inlineStr">
        <is>
          <t>Medium</t>
        </is>
      </c>
      <c r="W44" s="4" t="inlineStr">
        <is>
          <t>Low</t>
        </is>
      </c>
      <c r="X44" s="4" t="inlineStr">
        <is>
          <t>Data &amp; Persistence Engineer</t>
        </is>
      </c>
      <c r="Y44" s="4" t="inlineStr">
        <is>
          <t>After deps</t>
        </is>
      </c>
      <c r="Z44" s="4" t="inlineStr">
        <is>
          <t>Low</t>
        </is>
      </c>
      <c r="AA44" s="4" t="inlineStr">
        <is>
          <t>feature/LS-062-profile-repository-active-child-state</t>
        </is>
      </c>
      <c r="AB44" s="4" t="inlineStr"/>
      <c r="AC44" s="4" t="inlineStr"/>
      <c r="AD44" s="4" t="inlineStr">
        <is>
          <t>To Do</t>
        </is>
      </c>
      <c r="AE44" s="4" t="inlineStr">
        <is>
          <t>Project owner (human)</t>
        </is>
      </c>
      <c r="AF44" s="4" t="inlineStr">
        <is>
          <t>Awaiting Approval C</t>
        </is>
      </c>
      <c r="AG44" s="4" t="inlineStr"/>
      <c r="AH44" s="4" t="inlineStr">
        <is>
          <t>None</t>
        </is>
      </c>
      <c r="AI44" s="4" t="inlineStr">
        <is>
          <t>N/A</t>
        </is>
      </c>
      <c r="AJ44" s="4" t="inlineStr"/>
      <c r="AK44" s="4" t="inlineStr">
        <is>
          <t>FR-02, FR-03</t>
        </is>
      </c>
      <c r="AL44" s="22">
        <f>AD44&amp;"|"&amp;COUNTIF(AD$2:AD44,AD44)</f>
        <v/>
      </c>
    </row>
    <row r="45" ht="85" customHeight="1">
      <c r="A45" s="17" t="inlineStr">
        <is>
          <t>LS-063</t>
        </is>
      </c>
      <c r="B45" s="4" t="inlineStr">
        <is>
          <t>Story</t>
        </is>
      </c>
      <c r="C45" s="4" t="inlineStr">
        <is>
          <t>LS-EPIC-05</t>
        </is>
      </c>
      <c r="D45" s="4" t="inlineStr">
        <is>
          <t>Child Profiles – list, switch, edit, add</t>
        </is>
      </c>
      <c r="E45" s="4" t="inlineStr">
        <is>
          <t>Implement SCR-14: privacy note, profile cards with Active/Switch, edit → Setup prefilled, Add child.</t>
        </is>
      </c>
      <c r="F45" s="4" t="inlineStr">
        <is>
          <t>–</t>
        </is>
      </c>
      <c r="G45" s="4" t="inlineStr">
        <is>
          <t>Personalised first-run experience</t>
        </is>
      </c>
      <c r="H45" s="4" t="inlineStr">
        <is>
          <t>Medium</t>
        </is>
      </c>
      <c r="I45" s="4" t="inlineStr">
        <is>
          <t>Should</t>
        </is>
      </c>
      <c r="J45" s="4" t="inlineStr">
        <is>
          <t>P6</t>
        </is>
      </c>
      <c r="K45" s="4" t="inlineStr">
        <is>
          <t>:feature:settings</t>
        </is>
      </c>
      <c r="L45" s="5" t="inlineStr">
        <is>
          <t>SCR-14</t>
        </is>
      </c>
      <c r="M45" s="5" t="inlineStr">
        <is>
          <t>SCR-14 Child Profiles → 20-child-profiles.jpg</t>
        </is>
      </c>
      <c r="N45" s="4" t="inlineStr">
        <is>
          <t>LS-062, LS-061</t>
        </is>
      </c>
      <c r="O45" s="4" t="inlineStr">
        <is>
          <t>Blocks: LS-121, LS-122, LS-123, LS-125, LS-126
Blocked by: LS-062, LS-061</t>
        </is>
      </c>
      <c r="P45" s="4" t="inlineStr">
        <is>
          <t>1. Switch changes active child
2. Edit saves changes
3. Add creates new profile</t>
        </is>
      </c>
      <c r="Q45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45" s="4" t="inlineStr">
        <is>
          <t>Use tokens, string resources (EN+KN) and AppConfig only. UiState + StateFlow; UiText for messages; preview in EN/KN.</t>
        </is>
      </c>
      <c r="S45" s="4" t="inlineStr">
        <is>
          <t>UI test · Screenshot EN/KN</t>
        </is>
      </c>
      <c r="T45" s="4" t="inlineStr"/>
      <c r="U45" s="4" t="n">
        <v>3</v>
      </c>
      <c r="V45" s="4" t="inlineStr">
        <is>
          <t>Medium</t>
        </is>
      </c>
      <c r="W45" s="4" t="inlineStr">
        <is>
          <t>Low</t>
        </is>
      </c>
      <c r="X45" s="4" t="inlineStr">
        <is>
          <t>Jetpack Compose UI Engineer</t>
        </is>
      </c>
      <c r="Y45" s="4" t="inlineStr">
        <is>
          <t>Yes</t>
        </is>
      </c>
      <c r="Z45" s="4" t="inlineStr">
        <is>
          <t>Low</t>
        </is>
      </c>
      <c r="AA45" s="4" t="inlineStr">
        <is>
          <t>feature/LS-063-child-profiles-list-switch-edit</t>
        </is>
      </c>
      <c r="AB45" s="4" t="inlineStr"/>
      <c r="AC45" s="4" t="inlineStr"/>
      <c r="AD45" s="4" t="inlineStr">
        <is>
          <t>To Do</t>
        </is>
      </c>
      <c r="AE45" s="4" t="inlineStr">
        <is>
          <t>Project owner (human)</t>
        </is>
      </c>
      <c r="AF45" s="4" t="inlineStr">
        <is>
          <t>Awaiting Approval C</t>
        </is>
      </c>
      <c r="AG45" s="4" t="inlineStr"/>
      <c r="AH45" s="4" t="inlineStr">
        <is>
          <t>New strings</t>
        </is>
      </c>
      <c r="AI45" s="4" t="inlineStr">
        <is>
          <t>Missing</t>
        </is>
      </c>
      <c r="AJ45" s="4" t="inlineStr"/>
      <c r="AK45" s="4" t="inlineStr">
        <is>
          <t>FR-03</t>
        </is>
      </c>
      <c r="AL45" s="22">
        <f>AD45&amp;"|"&amp;COUNTIF(AD$2:AD45,AD45)</f>
        <v/>
      </c>
    </row>
    <row r="46" ht="85" customHeight="1">
      <c r="A46" s="17" t="inlineStr">
        <is>
          <t>LS-070</t>
        </is>
      </c>
      <c r="B46" s="4" t="inlineStr">
        <is>
          <t>Story</t>
        </is>
      </c>
      <c r="C46" s="4" t="inlineStr">
        <is>
          <t>LS-EPIC-06</t>
        </is>
      </c>
      <c r="D46" s="4" t="inlineStr">
        <is>
          <t>Home screen</t>
        </is>
      </c>
      <c r="E46" s="4" t="inlineStr">
        <is>
          <t>Implement SCR-03 with HomeViewModel: greeting, 'Stories for {child}', hero + Create CTA, Continue listening card (hidden if none), category tiles, 'Made for {child}' row with hearts, culture banner, bell/avatar actions.</t>
        </is>
      </c>
      <c r="F46" s="4" t="inlineStr">
        <is>
          <t>As a parent, I want tonight's options at a glance so bedtime starts quickly.</t>
        </is>
      </c>
      <c r="G46" s="4" t="inlineStr">
        <is>
          <t>Core browsing value</t>
        </is>
      </c>
      <c r="H46" s="4" t="inlineStr">
        <is>
          <t>Highest</t>
        </is>
      </c>
      <c r="I46" s="4" t="inlineStr">
        <is>
          <t>Must</t>
        </is>
      </c>
      <c r="J46" s="4" t="inlineStr">
        <is>
          <t>P4</t>
        </is>
      </c>
      <c r="K46" s="4" t="inlineStr">
        <is>
          <t>:feature:home</t>
        </is>
      </c>
      <c r="L46" s="5" t="inlineStr">
        <is>
          <t>SCR-03</t>
        </is>
      </c>
      <c r="M46" s="5" t="inlineStr">
        <is>
          <t>SCR-03 Home → 05-home.jpg</t>
        </is>
      </c>
      <c r="N46" s="4" t="inlineStr">
        <is>
          <t>LS-018, LS-050, LS-062, LS-036</t>
        </is>
      </c>
      <c r="O46" s="4" t="inlineStr">
        <is>
          <t>Blocks: LS-120, LS-121, LS-122, LS-123, LS-125, LS-126
Blocked by: LS-018, LS-050, LS-062, LS-036</t>
        </is>
      </c>
      <c r="P46" s="4" t="inlineStr">
        <is>
          <t>1. Matches screenshot EN
2. KN layout without clipping
3. All tap targets navigate per spec
4. Empty continue state handled</t>
        </is>
      </c>
      <c r="Q46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46" s="4" t="inlineStr">
        <is>
          <t>Use tokens, string resources (EN+KN) and AppConfig only. UiState + StateFlow; UiText for messages; preview in EN/KN.</t>
        </is>
      </c>
      <c r="S46" s="4" t="inlineStr">
        <is>
          <t>ViewModel unit · UI test · Screenshot EN/KN</t>
        </is>
      </c>
      <c r="T46" s="4" t="inlineStr"/>
      <c r="U46" s="4" t="n">
        <v>5</v>
      </c>
      <c r="V46" s="4" t="inlineStr">
        <is>
          <t>High</t>
        </is>
      </c>
      <c r="W46" s="4" t="inlineStr">
        <is>
          <t>Low</t>
        </is>
      </c>
      <c r="X46" s="4" t="inlineStr">
        <is>
          <t>Jetpack Compose UI Engineer</t>
        </is>
      </c>
      <c r="Y46" s="4" t="inlineStr">
        <is>
          <t>After deps</t>
        </is>
      </c>
      <c r="Z46" s="4" t="inlineStr">
        <is>
          <t>Low</t>
        </is>
      </c>
      <c r="AA46" s="4" t="inlineStr">
        <is>
          <t>feature/LS-070-home-screen</t>
        </is>
      </c>
      <c r="AB46" s="4" t="inlineStr"/>
      <c r="AC46" s="4" t="inlineStr"/>
      <c r="AD46" s="4" t="inlineStr">
        <is>
          <t>To Do</t>
        </is>
      </c>
      <c r="AE46" s="4" t="inlineStr">
        <is>
          <t>Project owner (human)</t>
        </is>
      </c>
      <c r="AF46" s="4" t="inlineStr">
        <is>
          <t>Awaiting Approval C</t>
        </is>
      </c>
      <c r="AG46" s="4" t="inlineStr"/>
      <c r="AH46" s="4" t="inlineStr">
        <is>
          <t>New strings</t>
        </is>
      </c>
      <c r="AI46" s="4" t="inlineStr">
        <is>
          <t>Missing</t>
        </is>
      </c>
      <c r="AJ46" s="4" t="inlineStr"/>
      <c r="AK46" s="4" t="inlineStr">
        <is>
          <t>FR-04, FR-24</t>
        </is>
      </c>
      <c r="AL46" s="22">
        <f>AD46&amp;"|"&amp;COUNTIF(AD$2:AD46,AD46)</f>
        <v/>
      </c>
    </row>
    <row r="47" ht="85" customHeight="1">
      <c r="A47" s="17" t="inlineStr">
        <is>
          <t>LS-071</t>
        </is>
      </c>
      <c r="B47" s="4" t="inlineStr">
        <is>
          <t>Story</t>
        </is>
      </c>
      <c r="C47" s="4" t="inlineStr">
        <is>
          <t>LS-EPIC-06</t>
        </is>
      </c>
      <c r="D47" s="4" t="inlineStr">
        <is>
          <t>Discover – search, featured, filters, grid, rows</t>
        </is>
      </c>
      <c r="E47" s="4" t="inlineStr">
        <is>
          <t>Implement SCR-04a: live search (locale-aware), featured card hidden while searching, filter chips, Popular grid, Bedtime favourites row.</t>
        </is>
      </c>
      <c r="F47" s="4" t="inlineStr">
        <is>
          <t>–</t>
        </is>
      </c>
      <c r="G47" s="4" t="inlineStr">
        <is>
          <t>Core browsing value</t>
        </is>
      </c>
      <c r="H47" s="4" t="inlineStr">
        <is>
          <t>High</t>
        </is>
      </c>
      <c r="I47" s="4" t="inlineStr">
        <is>
          <t>Must</t>
        </is>
      </c>
      <c r="J47" s="4" t="inlineStr">
        <is>
          <t>P4</t>
        </is>
      </c>
      <c r="K47" s="4" t="inlineStr">
        <is>
          <t>:feature:discover</t>
        </is>
      </c>
      <c r="L47" s="5" t="inlineStr">
        <is>
          <t>SCR-04a</t>
        </is>
      </c>
      <c r="M47" s="5" t="inlineStr">
        <is>
          <t>SCR-04a Discover → 06-discover.jpg</t>
        </is>
      </c>
      <c r="N47" s="4" t="inlineStr">
        <is>
          <t>LS-018, LS-016, LS-036, LS-050</t>
        </is>
      </c>
      <c r="O47" s="4" t="inlineStr">
        <is>
          <t>Blocks: LS-072, LS-120, LS-121, LS-122, LS-123, LS-125, LS-126
Blocked by: LS-018, LS-016, LS-036, LS-050</t>
        </is>
      </c>
      <c r="P47" s="4" t="inlineStr">
        <is>
          <t>1. Search filters by title in EN and KN
2. Chip filters by category
3. 'Results for …' title while searching</t>
        </is>
      </c>
      <c r="Q47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47" s="4" t="inlineStr">
        <is>
          <t>Use tokens, string resources (EN+KN) and AppConfig only. UiState + StateFlow; UiText for messages; preview in EN/KN.</t>
        </is>
      </c>
      <c r="S47" s="4" t="inlineStr">
        <is>
          <t>ViewModel unit (filtering) · UI test · Screenshot EN/KN</t>
        </is>
      </c>
      <c r="T47" s="4" t="inlineStr"/>
      <c r="U47" s="4" t="n">
        <v>5</v>
      </c>
      <c r="V47" s="4" t="inlineStr">
        <is>
          <t>High</t>
        </is>
      </c>
      <c r="W47" s="4" t="inlineStr">
        <is>
          <t>Low</t>
        </is>
      </c>
      <c r="X47" s="4" t="inlineStr">
        <is>
          <t>Jetpack Compose UI Engineer</t>
        </is>
      </c>
      <c r="Y47" s="4" t="inlineStr">
        <is>
          <t>Yes</t>
        </is>
      </c>
      <c r="Z47" s="4" t="inlineStr">
        <is>
          <t>Low</t>
        </is>
      </c>
      <c r="AA47" s="4" t="inlineStr">
        <is>
          <t>feature/LS-071-discover-search-featured-filters-grid</t>
        </is>
      </c>
      <c r="AB47" s="4" t="inlineStr"/>
      <c r="AC47" s="4" t="inlineStr"/>
      <c r="AD47" s="4" t="inlineStr">
        <is>
          <t>To Do</t>
        </is>
      </c>
      <c r="AE47" s="4" t="inlineStr">
        <is>
          <t>Project owner (human)</t>
        </is>
      </c>
      <c r="AF47" s="4" t="inlineStr">
        <is>
          <t>Awaiting Approval C</t>
        </is>
      </c>
      <c r="AG47" s="4" t="inlineStr"/>
      <c r="AH47" s="4" t="inlineStr">
        <is>
          <t>New strings</t>
        </is>
      </c>
      <c r="AI47" s="4" t="inlineStr">
        <is>
          <t>Missing</t>
        </is>
      </c>
      <c r="AJ47" s="4" t="inlineStr"/>
      <c r="AK47" s="4" t="inlineStr">
        <is>
          <t>FR-05</t>
        </is>
      </c>
      <c r="AL47" s="22">
        <f>AD47&amp;"|"&amp;COUNTIF(AD$2:AD47,AD47)</f>
        <v/>
      </c>
    </row>
    <row r="48" ht="85" customHeight="1">
      <c r="A48" s="17" t="inlineStr">
        <is>
          <t>LS-072</t>
        </is>
      </c>
      <c r="B48" s="4" t="inlineStr">
        <is>
          <t>Story</t>
        </is>
      </c>
      <c r="C48" s="4" t="inlineStr">
        <is>
          <t>LS-EPIC-06</t>
        </is>
      </c>
      <c r="D48" s="4" t="inlineStr">
        <is>
          <t>Discover – no-results empty state</t>
        </is>
      </c>
      <c r="E48" s="4" t="inlineStr">
        <is>
          <t>Implement SCR-04b empty state; Clear search resets query and chip.</t>
        </is>
      </c>
      <c r="F48" s="4" t="inlineStr">
        <is>
          <t>–</t>
        </is>
      </c>
      <c r="G48" s="4" t="inlineStr">
        <is>
          <t>Core browsing value</t>
        </is>
      </c>
      <c r="H48" s="4" t="inlineStr">
        <is>
          <t>Medium</t>
        </is>
      </c>
      <c r="I48" s="4" t="inlineStr">
        <is>
          <t>Must</t>
        </is>
      </c>
      <c r="J48" s="4" t="inlineStr">
        <is>
          <t>P4</t>
        </is>
      </c>
      <c r="K48" s="4" t="inlineStr">
        <is>
          <t>:feature:discover</t>
        </is>
      </c>
      <c r="L48" s="5" t="inlineStr">
        <is>
          <t>SCR-04b</t>
        </is>
      </c>
      <c r="M48" s="5" t="inlineStr">
        <is>
          <t>SCR-04b Discover – No results (empty state) → 06-discover.jpg</t>
        </is>
      </c>
      <c r="N48" s="4" t="inlineStr">
        <is>
          <t>LS-071, LS-017</t>
        </is>
      </c>
      <c r="O48" s="4" t="inlineStr">
        <is>
          <t>Blocks: LS-120, LS-121, LS-122, LS-123, LS-125, LS-126
Blocked by: LS-071, LS-017</t>
        </is>
      </c>
      <c r="P48" s="4" t="inlineStr">
        <is>
          <t>1. Shown when no match
2. Clear search restores default</t>
        </is>
      </c>
      <c r="Q48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48" s="4" t="inlineStr">
        <is>
          <t>Use tokens, string resources (EN+KN) and AppConfig only. UiState + StateFlow; UiText for messages; preview in EN/KN.</t>
        </is>
      </c>
      <c r="S48" s="4" t="inlineStr">
        <is>
          <t>UI test</t>
        </is>
      </c>
      <c r="T48" s="4" t="inlineStr"/>
      <c r="U48" s="4" t="n">
        <v>1</v>
      </c>
      <c r="V48" s="4" t="inlineStr">
        <is>
          <t>Low</t>
        </is>
      </c>
      <c r="W48" s="4" t="inlineStr">
        <is>
          <t>Low</t>
        </is>
      </c>
      <c r="X48" s="4" t="inlineStr">
        <is>
          <t>Jetpack Compose UI Engineer</t>
        </is>
      </c>
      <c r="Y48" s="4" t="inlineStr">
        <is>
          <t>After deps</t>
        </is>
      </c>
      <c r="Z48" s="4" t="inlineStr">
        <is>
          <t>Low</t>
        </is>
      </c>
      <c r="AA48" s="4" t="inlineStr">
        <is>
          <t>feature/LS-072-discover-no-results-empty-state</t>
        </is>
      </c>
      <c r="AB48" s="4" t="inlineStr"/>
      <c r="AC48" s="4" t="inlineStr"/>
      <c r="AD48" s="4" t="inlineStr">
        <is>
          <t>To Do</t>
        </is>
      </c>
      <c r="AE48" s="4" t="inlineStr">
        <is>
          <t>Project owner (human)</t>
        </is>
      </c>
      <c r="AF48" s="4" t="inlineStr">
        <is>
          <t>Awaiting Approval C</t>
        </is>
      </c>
      <c r="AG48" s="4" t="inlineStr"/>
      <c r="AH48" s="4" t="inlineStr">
        <is>
          <t>New strings</t>
        </is>
      </c>
      <c r="AI48" s="4" t="inlineStr">
        <is>
          <t>Missing</t>
        </is>
      </c>
      <c r="AJ48" s="4" t="inlineStr"/>
      <c r="AK48" s="4" t="inlineStr">
        <is>
          <t>FR-05</t>
        </is>
      </c>
      <c r="AL48" s="22">
        <f>AD48&amp;"|"&amp;COUNTIF(AD$2:AD48,AD48)</f>
        <v/>
      </c>
    </row>
    <row r="49" ht="85" customHeight="1">
      <c r="A49" s="17" t="inlineStr">
        <is>
          <t>LS-073</t>
        </is>
      </c>
      <c r="B49" s="4" t="inlineStr">
        <is>
          <t>Story</t>
        </is>
      </c>
      <c r="C49" s="4" t="inlineStr">
        <is>
          <t>LS-EPIC-06</t>
        </is>
      </c>
      <c r="D49" s="4" t="inlineStr">
        <is>
          <t>Category screen (generic, sortable)</t>
        </is>
      </c>
      <c r="E49" s="4" t="inlineStr">
        <is>
          <t>Implement SCR-05 for any category id: hero (count plural, description), sort select, list rows with offline + heart.</t>
        </is>
      </c>
      <c r="F49" s="4" t="inlineStr">
        <is>
          <t>–</t>
        </is>
      </c>
      <c r="G49" s="4" t="inlineStr">
        <is>
          <t>Core browsing value</t>
        </is>
      </c>
      <c r="H49" s="4" t="inlineStr">
        <is>
          <t>Medium</t>
        </is>
      </c>
      <c r="I49" s="4" t="inlineStr">
        <is>
          <t>Should</t>
        </is>
      </c>
      <c r="J49" s="4" t="inlineStr">
        <is>
          <t>P4</t>
        </is>
      </c>
      <c r="K49" s="4" t="inlineStr">
        <is>
          <t>:feature:discover</t>
        </is>
      </c>
      <c r="L49" s="5" t="inlineStr">
        <is>
          <t>SCR-05</t>
        </is>
      </c>
      <c r="M49" s="5" t="inlineStr">
        <is>
          <t>SCR-05 Category (Indian Tales) → 21-category-indian-tales.jpg</t>
        </is>
      </c>
      <c r="N49" s="4" t="inlineStr">
        <is>
          <t>LS-018, LS-036, LS-050</t>
        </is>
      </c>
      <c r="O49" s="4" t="inlineStr">
        <is>
          <t>Blocks: LS-120, LS-121, LS-122, LS-123, LS-125, LS-126
Blocked by: LS-018, LS-036, LS-050</t>
        </is>
      </c>
      <c r="P49" s="4" t="inlineStr">
        <is>
          <t>1. Works for every category in mock data
2. Sort orders correct
3. '{n} stories' uses plurals</t>
        </is>
      </c>
      <c r="Q49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49" s="4" t="inlineStr">
        <is>
          <t>Use tokens, string resources (EN+KN) and AppConfig only. UiState + StateFlow; UiText for messages; preview in EN/KN.</t>
        </is>
      </c>
      <c r="S49" s="4" t="inlineStr">
        <is>
          <t>Unit: sort · UI test · Screenshot EN/KN</t>
        </is>
      </c>
      <c r="T49" s="4" t="inlineStr"/>
      <c r="U49" s="4" t="n">
        <v>3</v>
      </c>
      <c r="V49" s="4" t="inlineStr">
        <is>
          <t>Medium</t>
        </is>
      </c>
      <c r="W49" s="4" t="inlineStr">
        <is>
          <t>Low</t>
        </is>
      </c>
      <c r="X49" s="4" t="inlineStr">
        <is>
          <t>Jetpack Compose UI Engineer</t>
        </is>
      </c>
      <c r="Y49" s="4" t="inlineStr">
        <is>
          <t>Yes</t>
        </is>
      </c>
      <c r="Z49" s="4" t="inlineStr">
        <is>
          <t>Low</t>
        </is>
      </c>
      <c r="AA49" s="4" t="inlineStr">
        <is>
          <t>feature/LS-073-category-screen-generic-sortable</t>
        </is>
      </c>
      <c r="AB49" s="4" t="inlineStr"/>
      <c r="AC49" s="4" t="inlineStr"/>
      <c r="AD49" s="4" t="inlineStr">
        <is>
          <t>To Do</t>
        </is>
      </c>
      <c r="AE49" s="4" t="inlineStr">
        <is>
          <t>Project owner (human)</t>
        </is>
      </c>
      <c r="AF49" s="4" t="inlineStr">
        <is>
          <t>Awaiting Approval C</t>
        </is>
      </c>
      <c r="AG49" s="4" t="inlineStr"/>
      <c r="AH49" s="4" t="inlineStr">
        <is>
          <t>New strings</t>
        </is>
      </c>
      <c r="AI49" s="4" t="inlineStr">
        <is>
          <t>Missing</t>
        </is>
      </c>
      <c r="AJ49" s="4" t="inlineStr"/>
      <c r="AK49" s="4" t="inlineStr">
        <is>
          <t>FR-06</t>
        </is>
      </c>
      <c r="AL49" s="22">
        <f>AD49&amp;"|"&amp;COUNTIF(AD$2:AD49,AD49)</f>
        <v/>
      </c>
    </row>
    <row r="50" ht="85" customHeight="1">
      <c r="A50" s="17" t="inlineStr">
        <is>
          <t>LS-074</t>
        </is>
      </c>
      <c r="B50" s="4" t="inlineStr">
        <is>
          <t>Story</t>
        </is>
      </c>
      <c r="C50" s="4" t="inlineStr">
        <is>
          <t>LS-EPIC-06</t>
        </is>
      </c>
      <c r="D50" s="4" t="inlineStr">
        <is>
          <t>Story Detail screen</t>
        </is>
      </c>
      <c r="E50" s="4" t="inlineStr">
        <is>
          <t>Implement SCR-06: cover, back/favourite/download, pill, metadata, synopsis, lesson panel, narration row, sticky Listen/Read.</t>
        </is>
      </c>
      <c r="F50" s="4" t="inlineStr">
        <is>
          <t>–</t>
        </is>
      </c>
      <c r="G50" s="4" t="inlineStr">
        <is>
          <t>Core browsing value</t>
        </is>
      </c>
      <c r="H50" s="4" t="inlineStr">
        <is>
          <t>High</t>
        </is>
      </c>
      <c r="I50" s="4" t="inlineStr">
        <is>
          <t>Must</t>
        </is>
      </c>
      <c r="J50" s="4" t="inlineStr">
        <is>
          <t>P4</t>
        </is>
      </c>
      <c r="K50" s="4" t="inlineStr">
        <is>
          <t>:feature:discover</t>
        </is>
      </c>
      <c r="L50" s="5" t="inlineStr">
        <is>
          <t>SCR-06</t>
        </is>
      </c>
      <c r="M50" s="5" t="inlineStr">
        <is>
          <t>SCR-06 Story Detail → 22-story-detail.jpg</t>
        </is>
      </c>
      <c r="N50" s="4" t="inlineStr">
        <is>
          <t>LS-018, LS-036, LS-050, LS-075</t>
        </is>
      </c>
      <c r="O50" s="4" t="inlineStr">
        <is>
          <t>Blocks: LS-120, LS-121, LS-122, LS-123, LS-125, LS-126
Blocked by: LS-018, LS-036, LS-050, LS-075</t>
        </is>
      </c>
      <c r="P50" s="4" t="inlineStr">
        <is>
          <t>1. Data-driven for any story id
2. Language tag reflects story language
3. Listen → Player, Read → Reader</t>
        </is>
      </c>
      <c r="Q50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50" s="4" t="inlineStr">
        <is>
          <t>Use tokens, string resources (EN+KN) and AppConfig only. UiState + StateFlow; UiText for messages; preview in EN/KN.</t>
        </is>
      </c>
      <c r="S50" s="4" t="inlineStr">
        <is>
          <t>UI test · Screenshot EN/KN</t>
        </is>
      </c>
      <c r="T50" s="4" t="inlineStr"/>
      <c r="U50" s="4" t="n">
        <v>3</v>
      </c>
      <c r="V50" s="4" t="inlineStr">
        <is>
          <t>Medium</t>
        </is>
      </c>
      <c r="W50" s="4" t="inlineStr">
        <is>
          <t>Low</t>
        </is>
      </c>
      <c r="X50" s="4" t="inlineStr">
        <is>
          <t>Jetpack Compose UI Engineer</t>
        </is>
      </c>
      <c r="Y50" s="4" t="inlineStr">
        <is>
          <t>Yes</t>
        </is>
      </c>
      <c r="Z50" s="4" t="inlineStr">
        <is>
          <t>Low</t>
        </is>
      </c>
      <c r="AA50" s="4" t="inlineStr">
        <is>
          <t>feature/LS-074-story-detail-screen</t>
        </is>
      </c>
      <c r="AB50" s="4" t="inlineStr"/>
      <c r="AC50" s="4" t="inlineStr"/>
      <c r="AD50" s="4" t="inlineStr">
        <is>
          <t>To Do</t>
        </is>
      </c>
      <c r="AE50" s="4" t="inlineStr">
        <is>
          <t>Project owner (human)</t>
        </is>
      </c>
      <c r="AF50" s="4" t="inlineStr">
        <is>
          <t>Awaiting Approval C</t>
        </is>
      </c>
      <c r="AG50" s="4" t="inlineStr"/>
      <c r="AH50" s="4" t="inlineStr">
        <is>
          <t>New strings</t>
        </is>
      </c>
      <c r="AI50" s="4" t="inlineStr">
        <is>
          <t>Missing</t>
        </is>
      </c>
      <c r="AJ50" s="4" t="inlineStr"/>
      <c r="AK50" s="4" t="inlineStr">
        <is>
          <t>FR-07</t>
        </is>
      </c>
      <c r="AL50" s="22">
        <f>AD50&amp;"|"&amp;COUNTIF(AD$2:AD50,AD50)</f>
        <v/>
      </c>
    </row>
    <row r="51" ht="85" customHeight="1">
      <c r="A51" s="17" t="inlineStr">
        <is>
          <t>LS-075</t>
        </is>
      </c>
      <c r="B51" s="4" t="inlineStr">
        <is>
          <t>Story</t>
        </is>
      </c>
      <c r="C51" s="4" t="inlineStr">
        <is>
          <t>LS-EPIC-06</t>
        </is>
      </c>
      <c r="D51" s="4" t="inlineStr">
        <is>
          <t>Favourites (shared, persisted)</t>
        </is>
      </c>
      <c r="E51" s="4" t="inlineStr">
        <is>
          <t>FavouritesRepository + toggle use case used by every story surface; optimistic UI, no duplicate writes.</t>
        </is>
      </c>
      <c r="F51" s="4" t="inlineStr">
        <is>
          <t>–</t>
        </is>
      </c>
      <c r="G51" s="4" t="inlineStr">
        <is>
          <t>Core browsing value</t>
        </is>
      </c>
      <c r="H51" s="4" t="inlineStr">
        <is>
          <t>High</t>
        </is>
      </c>
      <c r="I51" s="4" t="inlineStr">
        <is>
          <t>Must</t>
        </is>
      </c>
      <c r="J51" s="4" t="inlineStr">
        <is>
          <t>P4</t>
        </is>
      </c>
      <c r="K51" s="4" t="inlineStr">
        <is>
          <t>:data / :domain</t>
        </is>
      </c>
      <c r="L51" s="4" t="inlineStr">
        <is>
          <t>Multiple</t>
        </is>
      </c>
      <c r="M51" s="5" t="inlineStr">
        <is>
          <t>Design pack – all screens (docs/design/screens/)</t>
        </is>
      </c>
      <c r="N51" s="4" t="inlineStr">
        <is>
          <t>LS-038</t>
        </is>
      </c>
      <c r="O51" s="4" t="inlineStr">
        <is>
          <t>Blocks: LS-074, LS-100, LS-120, LS-121, LS-122, LS-123, LS-125, LS-126
Blocked by: LS-038</t>
        </is>
      </c>
      <c r="P51" s="4" t="inlineStr">
        <is>
          <t>1. Toggle on any screen reflects everywhere
2. Persists after restart
3. Rapid taps produce consistent state</t>
        </is>
      </c>
      <c r="Q51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51" s="4" t="inlineStr">
        <is>
          <t>Use tokens, string resources (EN+KN) and AppConfig only.</t>
        </is>
      </c>
      <c r="S51" s="4" t="inlineStr">
        <is>
          <t>Unit + Room tests · UI test</t>
        </is>
      </c>
      <c r="T51" s="4" t="inlineStr"/>
      <c r="U51" s="4" t="n">
        <v>2</v>
      </c>
      <c r="V51" s="4" t="inlineStr">
        <is>
          <t>Low</t>
        </is>
      </c>
      <c r="W51" s="4" t="inlineStr">
        <is>
          <t>Low</t>
        </is>
      </c>
      <c r="X51" s="4" t="inlineStr">
        <is>
          <t>Data &amp; Persistence Engineer</t>
        </is>
      </c>
      <c r="Y51" s="4" t="inlineStr">
        <is>
          <t>After deps</t>
        </is>
      </c>
      <c r="Z51" s="4" t="inlineStr">
        <is>
          <t>Low</t>
        </is>
      </c>
      <c r="AA51" s="4" t="inlineStr">
        <is>
          <t>feature/LS-075-favourites-shared-persisted</t>
        </is>
      </c>
      <c r="AB51" s="4" t="inlineStr"/>
      <c r="AC51" s="4" t="inlineStr"/>
      <c r="AD51" s="4" t="inlineStr">
        <is>
          <t>To Do</t>
        </is>
      </c>
      <c r="AE51" s="4" t="inlineStr">
        <is>
          <t>Project owner (human)</t>
        </is>
      </c>
      <c r="AF51" s="4" t="inlineStr">
        <is>
          <t>Awaiting Approval C</t>
        </is>
      </c>
      <c r="AG51" s="4" t="inlineStr"/>
      <c r="AH51" s="4" t="inlineStr">
        <is>
          <t>None</t>
        </is>
      </c>
      <c r="AI51" s="4" t="inlineStr">
        <is>
          <t>N/A</t>
        </is>
      </c>
      <c r="AJ51" s="4" t="inlineStr"/>
      <c r="AK51" s="4" t="inlineStr">
        <is>
          <t>FR-13</t>
        </is>
      </c>
      <c r="AL51" s="22">
        <f>AD51&amp;"|"&amp;COUNTIF(AD$2:AD51,AD51)</f>
        <v/>
      </c>
    </row>
    <row r="52" ht="85" customHeight="1">
      <c r="A52" s="17" t="inlineStr">
        <is>
          <t>LS-080</t>
        </is>
      </c>
      <c r="B52" s="4" t="inlineStr">
        <is>
          <t>Story</t>
        </is>
      </c>
      <c r="C52" s="4" t="inlineStr">
        <is>
          <t>LS-EPIC-07</t>
        </is>
      </c>
      <c r="D52" s="4" t="inlineStr">
        <is>
          <t>Create a Story – form</t>
        </is>
      </c>
      <c r="E52" s="4" t="inlineStr">
        <is>
          <t>Implement SCR-07: intro, textarea with n/500 counter (limit from AppConfig), suggestion chips (neutral copy per LS-004), story hero selector, theme chips, safety note, CTA.</t>
        </is>
      </c>
      <c r="F52" s="4" t="inlineStr">
        <is>
          <t>As a parent, I want to turn my child's day into a story.</t>
        </is>
      </c>
      <c r="G52" s="4" t="inlineStr">
        <is>
          <t>Signature feature</t>
        </is>
      </c>
      <c r="H52" s="4" t="inlineStr">
        <is>
          <t>Highest</t>
        </is>
      </c>
      <c r="I52" s="4" t="inlineStr">
        <is>
          <t>Must</t>
        </is>
      </c>
      <c r="J52" s="4" t="inlineStr">
        <is>
          <t>P4</t>
        </is>
      </c>
      <c r="K52" s="4" t="inlineStr">
        <is>
          <t>:feature:create</t>
        </is>
      </c>
      <c r="L52" s="5" t="inlineStr">
        <is>
          <t>SCR-07</t>
        </is>
      </c>
      <c r="M52" s="5" t="inlineStr">
        <is>
          <t>SCR-07 Create a Story → 07-create-story.jpg, 08-create-story-more-options-and-error.jpg</t>
        </is>
      </c>
      <c r="N52" s="4" t="inlineStr">
        <is>
          <t>LS-016, LS-062, LS-033, LS-050</t>
        </is>
      </c>
      <c r="O52" s="4" t="inlineStr">
        <is>
          <t>Blocks: LS-081, LS-120, LS-121, LS-122, LS-123, LS-125, LS-126
Blocked by: LS-016, LS-062, LS-033, LS-050</t>
        </is>
      </c>
      <c r="P52" s="4" t="inlineStr">
        <is>
          <t>1. Counter enforces limit
2. Suggestions fill text
3. Hero selector lists profiles</t>
        </is>
      </c>
      <c r="Q52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52" s="4" t="inlineStr">
        <is>
          <t>Use tokens, string resources (EN+KN) and AppConfig only. UiState + StateFlow; UiText for messages; preview in EN/KN.</t>
        </is>
      </c>
      <c r="S52" s="4" t="inlineStr">
        <is>
          <t>ViewModel unit · UI test · Screenshot EN/KN</t>
        </is>
      </c>
      <c r="T52" s="4" t="inlineStr"/>
      <c r="U52" s="4" t="n">
        <v>5</v>
      </c>
      <c r="V52" s="4" t="inlineStr">
        <is>
          <t>High</t>
        </is>
      </c>
      <c r="W52" s="4" t="inlineStr">
        <is>
          <t>Low</t>
        </is>
      </c>
      <c r="X52" s="4" t="inlineStr">
        <is>
          <t>Jetpack Compose UI Engineer</t>
        </is>
      </c>
      <c r="Y52" s="4" t="inlineStr">
        <is>
          <t>After deps</t>
        </is>
      </c>
      <c r="Z52" s="4" t="inlineStr">
        <is>
          <t>Low</t>
        </is>
      </c>
      <c r="AA52" s="4" t="inlineStr">
        <is>
          <t>feature/LS-080-create-a-story-form</t>
        </is>
      </c>
      <c r="AB52" s="4" t="inlineStr"/>
      <c r="AC52" s="4" t="inlineStr"/>
      <c r="AD52" s="4" t="inlineStr">
        <is>
          <t>To Do</t>
        </is>
      </c>
      <c r="AE52" s="4" t="inlineStr">
        <is>
          <t>Project owner (human)</t>
        </is>
      </c>
      <c r="AF52" s="4" t="inlineStr">
        <is>
          <t>Awaiting Approval C</t>
        </is>
      </c>
      <c r="AG52" s="4" t="inlineStr"/>
      <c r="AH52" s="4" t="inlineStr">
        <is>
          <t>New strings</t>
        </is>
      </c>
      <c r="AI52" s="4" t="inlineStr">
        <is>
          <t>Missing</t>
        </is>
      </c>
      <c r="AJ52" s="4" t="inlineStr"/>
      <c r="AK52" s="4" t="inlineStr">
        <is>
          <t>FR-08</t>
        </is>
      </c>
      <c r="AL52" s="22">
        <f>AD52&amp;"|"&amp;COUNTIF(AD$2:AD52,AD52)</f>
        <v/>
      </c>
    </row>
    <row r="53" ht="85" customHeight="1">
      <c r="A53" s="17" t="inlineStr">
        <is>
          <t>LS-081</t>
        </is>
      </c>
      <c r="B53" s="4" t="inlineStr">
        <is>
          <t>Story</t>
        </is>
      </c>
      <c r="C53" s="4" t="inlineStr">
        <is>
          <t>LS-EPIC-07</t>
        </is>
      </c>
      <c r="D53" s="4" t="inlineStr">
        <is>
          <t>Create – more options &amp; validation</t>
        </is>
      </c>
      <c r="E53" s="4" t="inlineStr">
        <is>
          <t>Collapsible More options (mood, duration, story language EN/KN from registry), chevron rotation; empty-text error banner announced and cleared on typing.</t>
        </is>
      </c>
      <c r="F53" s="4" t="inlineStr">
        <is>
          <t>–</t>
        </is>
      </c>
      <c r="G53" s="4" t="inlineStr">
        <is>
          <t>Signature feature</t>
        </is>
      </c>
      <c r="H53" s="4" t="inlineStr">
        <is>
          <t>High</t>
        </is>
      </c>
      <c r="I53" s="4" t="inlineStr">
        <is>
          <t>Must</t>
        </is>
      </c>
      <c r="J53" s="4" t="inlineStr">
        <is>
          <t>P4</t>
        </is>
      </c>
      <c r="K53" s="4" t="inlineStr">
        <is>
          <t>:feature:create</t>
        </is>
      </c>
      <c r="L53" s="5" t="inlineStr">
        <is>
          <t>SCR-07</t>
        </is>
      </c>
      <c r="M53" s="5" t="inlineStr">
        <is>
          <t>SCR-07 Create a Story → 07-create-story.jpg, 08-create-story-more-options-and-error.jpg</t>
        </is>
      </c>
      <c r="N53" s="4" t="inlineStr">
        <is>
          <t>LS-080, LS-040</t>
        </is>
      </c>
      <c r="O53" s="4" t="inlineStr">
        <is>
          <t>Blocks: LS-120, LS-121, LS-122, LS-123, LS-125, LS-126
Blocked by: LS-080, LS-040</t>
        </is>
      </c>
      <c r="P53" s="4" t="inlineStr">
        <is>
          <t>1. Empty submit shows error, no navigation
2. Typing clears error
3. Story language limited to EN/KN</t>
        </is>
      </c>
      <c r="Q53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53" s="4" t="inlineStr">
        <is>
          <t>Use tokens, string resources (EN+KN) and AppConfig only. UiState + StateFlow; UiText for messages; preview in EN/KN.</t>
        </is>
      </c>
      <c r="S53" s="4" t="inlineStr">
        <is>
          <t>Unit: validation · UI test · Screenshot error EN/KN</t>
        </is>
      </c>
      <c r="T53" s="4" t="inlineStr"/>
      <c r="U53" s="4" t="n">
        <v>3</v>
      </c>
      <c r="V53" s="4" t="inlineStr">
        <is>
          <t>Medium</t>
        </is>
      </c>
      <c r="W53" s="4" t="inlineStr">
        <is>
          <t>Low</t>
        </is>
      </c>
      <c r="X53" s="4" t="inlineStr">
        <is>
          <t>Jetpack Compose UI Engineer</t>
        </is>
      </c>
      <c r="Y53" s="4" t="inlineStr">
        <is>
          <t>After deps</t>
        </is>
      </c>
      <c r="Z53" s="4" t="inlineStr">
        <is>
          <t>Low</t>
        </is>
      </c>
      <c r="AA53" s="4" t="inlineStr">
        <is>
          <t>feature/LS-081-create-more-options-validation</t>
        </is>
      </c>
      <c r="AB53" s="4" t="inlineStr"/>
      <c r="AC53" s="4" t="inlineStr"/>
      <c r="AD53" s="4" t="inlineStr">
        <is>
          <t>To Do</t>
        </is>
      </c>
      <c r="AE53" s="4" t="inlineStr">
        <is>
          <t>Project owner (human)</t>
        </is>
      </c>
      <c r="AF53" s="4" t="inlineStr">
        <is>
          <t>Awaiting Approval C</t>
        </is>
      </c>
      <c r="AG53" s="4" t="inlineStr"/>
      <c r="AH53" s="4" t="inlineStr">
        <is>
          <t>New strings</t>
        </is>
      </c>
      <c r="AI53" s="4" t="inlineStr">
        <is>
          <t>Missing</t>
        </is>
      </c>
      <c r="AJ53" s="4" t="inlineStr"/>
      <c r="AK53" s="4" t="inlineStr">
        <is>
          <t>FR-08, FR-21</t>
        </is>
      </c>
      <c r="AL53" s="22">
        <f>AD53&amp;"|"&amp;COUNTIF(AD$2:AD53,AD53)</f>
        <v/>
      </c>
    </row>
    <row r="54" ht="85" customHeight="1">
      <c r="A54" s="17" t="inlineStr">
        <is>
          <t>LS-082</t>
        </is>
      </c>
      <c r="B54" s="4" t="inlineStr">
        <is>
          <t>Story</t>
        </is>
      </c>
      <c r="C54" s="4" t="inlineStr">
        <is>
          <t>LS-EPIC-07</t>
        </is>
      </c>
      <c r="D54" s="4" t="inlineStr">
        <is>
          <t>Simulated generation repository &amp; use case</t>
        </is>
      </c>
      <c r="E54" s="4" t="inlineStr">
        <is>
          <t>Deterministic, cancellable generation: progress steps and stage thresholds (38/76%) from AppConfig; returns localized mock story for the request language; injectable clock for tests.</t>
        </is>
      </c>
      <c r="F54" s="4" t="inlineStr">
        <is>
          <t>–</t>
        </is>
      </c>
      <c r="G54" s="4" t="inlineStr">
        <is>
          <t>Signature feature</t>
        </is>
      </c>
      <c r="H54" s="4" t="inlineStr">
        <is>
          <t>High</t>
        </is>
      </c>
      <c r="I54" s="4" t="inlineStr">
        <is>
          <t>Must</t>
        </is>
      </c>
      <c r="J54" s="4" t="inlineStr">
        <is>
          <t>P4</t>
        </is>
      </c>
      <c r="K54" s="4" t="inlineStr">
        <is>
          <t>:data / :domain</t>
        </is>
      </c>
      <c r="L54" s="5" t="inlineStr">
        <is>
          <t>SCR-08, SCR-09</t>
        </is>
      </c>
      <c r="M54" s="5" t="inlineStr">
        <is>
          <t>SCR-08 Generating + Paused → 09-generating.jpg
SCR-09 Story Ready → 10-story-ready.jpg</t>
        </is>
      </c>
      <c r="N54" s="4" t="inlineStr">
        <is>
          <t>LS-037, LS-036, LS-033</t>
        </is>
      </c>
      <c r="O54" s="4" t="inlineStr">
        <is>
          <t>Blocks: LS-083, LS-120, LS-121, LS-122, LS-123, LS-125, LS-126, LS-141
Blocked by: LS-037, LS-036, LS-033</t>
        </is>
      </c>
      <c r="P54" s="4" t="inlineStr">
        <is>
          <t>1. Same input → same output
2. Cancel stops progress
3. Result saved to Created by Me</t>
        </is>
      </c>
      <c r="Q54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54" s="4" t="inlineStr">
        <is>
          <t>Use tokens, string resources (EN+KN) and AppConfig only.</t>
        </is>
      </c>
      <c r="S54" s="4" t="inlineStr">
        <is>
          <t>Unit with test dispatcher</t>
        </is>
      </c>
      <c r="T54" s="4" t="inlineStr"/>
      <c r="U54" s="4" t="n">
        <v>3</v>
      </c>
      <c r="V54" s="4" t="inlineStr">
        <is>
          <t>Medium</t>
        </is>
      </c>
      <c r="W54" s="4" t="inlineStr">
        <is>
          <t>Low</t>
        </is>
      </c>
      <c r="X54" s="4" t="inlineStr">
        <is>
          <t>AI Story Generation Integration Architect</t>
        </is>
      </c>
      <c r="Y54" s="4" t="inlineStr">
        <is>
          <t>Yes</t>
        </is>
      </c>
      <c r="Z54" s="4" t="inlineStr">
        <is>
          <t>Low</t>
        </is>
      </c>
      <c r="AA54" s="4" t="inlineStr">
        <is>
          <t>feature/LS-082-simulated-generation-repository-use-case</t>
        </is>
      </c>
      <c r="AB54" s="4" t="inlineStr"/>
      <c r="AC54" s="4" t="inlineStr"/>
      <c r="AD54" s="4" t="inlineStr">
        <is>
          <t>To Do</t>
        </is>
      </c>
      <c r="AE54" s="4" t="inlineStr">
        <is>
          <t>Project owner (human)</t>
        </is>
      </c>
      <c r="AF54" s="4" t="inlineStr">
        <is>
          <t>Awaiting Approval C</t>
        </is>
      </c>
      <c r="AG54" s="4" t="inlineStr"/>
      <c r="AH54" s="4" t="inlineStr">
        <is>
          <t>None</t>
        </is>
      </c>
      <c r="AI54" s="4" t="inlineStr">
        <is>
          <t>N/A</t>
        </is>
      </c>
      <c r="AJ54" s="4" t="inlineStr"/>
      <c r="AK54" s="4" t="inlineStr">
        <is>
          <t>FR-09, FR-10, NFR-12</t>
        </is>
      </c>
      <c r="AL54" s="22">
        <f>AD54&amp;"|"&amp;COUNTIF(AD$2:AD54,AD54)</f>
        <v/>
      </c>
    </row>
    <row r="55" ht="85" customHeight="1">
      <c r="A55" s="17" t="inlineStr">
        <is>
          <t>LS-083</t>
        </is>
      </c>
      <c r="B55" s="4" t="inlineStr">
        <is>
          <t>Story</t>
        </is>
      </c>
      <c r="C55" s="4" t="inlineStr">
        <is>
          <t>LS-EPIC-07</t>
        </is>
      </c>
      <c r="D55" s="4" t="inlineStr">
        <is>
          <t>Generating screen + paused state</t>
        </is>
      </c>
      <c r="E55" s="4" t="inlineStr">
        <is>
          <t>Implement SCR-08: night gradient, stars, magic book, progress %, stages, footnote, close → paused, Try again / Back to your idea, auto-advance.</t>
        </is>
      </c>
      <c r="F55" s="4" t="inlineStr">
        <is>
          <t>–</t>
        </is>
      </c>
      <c r="G55" s="4" t="inlineStr">
        <is>
          <t>Signature feature</t>
        </is>
      </c>
      <c r="H55" s="4" t="inlineStr">
        <is>
          <t>High</t>
        </is>
      </c>
      <c r="I55" s="4" t="inlineStr">
        <is>
          <t>Must</t>
        </is>
      </c>
      <c r="J55" s="4" t="inlineStr">
        <is>
          <t>P4</t>
        </is>
      </c>
      <c r="K55" s="4" t="inlineStr">
        <is>
          <t>:feature:create</t>
        </is>
      </c>
      <c r="L55" s="5" t="inlineStr">
        <is>
          <t>SCR-08</t>
        </is>
      </c>
      <c r="M55" s="5" t="inlineStr">
        <is>
          <t>SCR-08 Generating + Paused → 09-generating.jpg</t>
        </is>
      </c>
      <c r="N55" s="4" t="inlineStr">
        <is>
          <t>LS-082, LS-017</t>
        </is>
      </c>
      <c r="O55" s="4" t="inlineStr">
        <is>
          <t>Blocks: LS-084, LS-120, LS-121, LS-122, LS-123, LS-125, LS-126
Blocked by: LS-082, LS-017</t>
        </is>
      </c>
      <c r="P55" s="4" t="inlineStr">
        <is>
          <t>1. Stages change at thresholds
2. Paused state per spec
3. Auto-advance to Story Ready</t>
        </is>
      </c>
      <c r="Q55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55" s="4" t="inlineStr">
        <is>
          <t>Use tokens, string resources (EN+KN) and AppConfig only. UiState + StateFlow; UiText for messages; preview in EN/KN.</t>
        </is>
      </c>
      <c r="S55" s="4" t="inlineStr">
        <is>
          <t>UI test with fake repo · Screenshot EN/KN (progress, paused)</t>
        </is>
      </c>
      <c r="T55" s="4" t="inlineStr"/>
      <c r="U55" s="4" t="n">
        <v>3</v>
      </c>
      <c r="V55" s="4" t="inlineStr">
        <is>
          <t>Medium</t>
        </is>
      </c>
      <c r="W55" s="4" t="inlineStr">
        <is>
          <t>Low</t>
        </is>
      </c>
      <c r="X55" s="4" t="inlineStr">
        <is>
          <t>Jetpack Compose UI Engineer</t>
        </is>
      </c>
      <c r="Y55" s="4" t="inlineStr">
        <is>
          <t>After deps</t>
        </is>
      </c>
      <c r="Z55" s="4" t="inlineStr">
        <is>
          <t>Low</t>
        </is>
      </c>
      <c r="AA55" s="4" t="inlineStr">
        <is>
          <t>feature/LS-083-generating-screen-paused-state</t>
        </is>
      </c>
      <c r="AB55" s="4" t="inlineStr"/>
      <c r="AC55" s="4" t="inlineStr"/>
      <c r="AD55" s="4" t="inlineStr">
        <is>
          <t>To Do</t>
        </is>
      </c>
      <c r="AE55" s="4" t="inlineStr">
        <is>
          <t>Project owner (human)</t>
        </is>
      </c>
      <c r="AF55" s="4" t="inlineStr">
        <is>
          <t>Awaiting Approval C</t>
        </is>
      </c>
      <c r="AG55" s="4" t="inlineStr"/>
      <c r="AH55" s="4" t="inlineStr">
        <is>
          <t>New strings</t>
        </is>
      </c>
      <c r="AI55" s="4" t="inlineStr">
        <is>
          <t>Missing</t>
        </is>
      </c>
      <c r="AJ55" s="4" t="inlineStr"/>
      <c r="AK55" s="4" t="inlineStr">
        <is>
          <t>FR-09</t>
        </is>
      </c>
      <c r="AL55" s="22">
        <f>AD55&amp;"|"&amp;COUNTIF(AD$2:AD55,AD55)</f>
        <v/>
      </c>
    </row>
    <row r="56" ht="85" customHeight="1">
      <c r="A56" s="17" t="inlineStr">
        <is>
          <t>LS-084</t>
        </is>
      </c>
      <c r="B56" s="4" t="inlineStr">
        <is>
          <t>Story</t>
        </is>
      </c>
      <c r="C56" s="4" t="inlineStr">
        <is>
          <t>LS-EPIC-07</t>
        </is>
      </c>
      <c r="D56" s="4" t="inlineStr">
        <is>
          <t>Story Ready screen</t>
        </is>
      </c>
      <c r="E56" s="4" t="inlineStr">
        <is>
          <t>Implement SCR-09: ribbon, cover with badge, metadata, synopsis, peek quote, Listen/Read, 'Saved to My Stories' row → My Stories Created tab.</t>
        </is>
      </c>
      <c r="F56" s="4" t="inlineStr">
        <is>
          <t>–</t>
        </is>
      </c>
      <c r="G56" s="4" t="inlineStr">
        <is>
          <t>Signature feature</t>
        </is>
      </c>
      <c r="H56" s="4" t="inlineStr">
        <is>
          <t>High</t>
        </is>
      </c>
      <c r="I56" s="4" t="inlineStr">
        <is>
          <t>Must</t>
        </is>
      </c>
      <c r="J56" s="4" t="inlineStr">
        <is>
          <t>P4</t>
        </is>
      </c>
      <c r="K56" s="4" t="inlineStr">
        <is>
          <t>:feature:create</t>
        </is>
      </c>
      <c r="L56" s="5" t="inlineStr">
        <is>
          <t>SCR-09</t>
        </is>
      </c>
      <c r="M56" s="5" t="inlineStr">
        <is>
          <t>SCR-09 Story Ready → 10-story-ready.jpg</t>
        </is>
      </c>
      <c r="N56" s="4" t="inlineStr">
        <is>
          <t>LS-083, LS-018</t>
        </is>
      </c>
      <c r="O56" s="4" t="inlineStr">
        <is>
          <t>Blocks: LS-120, LS-121, LS-122, LS-123, LS-125, LS-126
Blocked by: LS-083, LS-018</t>
        </is>
      </c>
      <c r="P56" s="4" t="inlineStr">
        <is>
          <t>1. Shows generated story in selected language
2. Row opens My Stories on Created by Me</t>
        </is>
      </c>
      <c r="Q56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56" s="4" t="inlineStr">
        <is>
          <t>Use tokens, string resources (EN+KN) and AppConfig only. UiState + StateFlow; UiText for messages; preview in EN/KN.</t>
        </is>
      </c>
      <c r="S56" s="4" t="inlineStr">
        <is>
          <t>UI test · Screenshot EN/KN</t>
        </is>
      </c>
      <c r="T56" s="4" t="inlineStr"/>
      <c r="U56" s="4" t="n">
        <v>3</v>
      </c>
      <c r="V56" s="4" t="inlineStr">
        <is>
          <t>Medium</t>
        </is>
      </c>
      <c r="W56" s="4" t="inlineStr">
        <is>
          <t>Low</t>
        </is>
      </c>
      <c r="X56" s="4" t="inlineStr">
        <is>
          <t>Jetpack Compose UI Engineer</t>
        </is>
      </c>
      <c r="Y56" s="4" t="inlineStr">
        <is>
          <t>After deps</t>
        </is>
      </c>
      <c r="Z56" s="4" t="inlineStr">
        <is>
          <t>Low</t>
        </is>
      </c>
      <c r="AA56" s="4" t="inlineStr">
        <is>
          <t>feature/LS-084-story-ready-screen</t>
        </is>
      </c>
      <c r="AB56" s="4" t="inlineStr"/>
      <c r="AC56" s="4" t="inlineStr"/>
      <c r="AD56" s="4" t="inlineStr">
        <is>
          <t>To Do</t>
        </is>
      </c>
      <c r="AE56" s="4" t="inlineStr">
        <is>
          <t>Project owner (human)</t>
        </is>
      </c>
      <c r="AF56" s="4" t="inlineStr">
        <is>
          <t>Awaiting Approval C</t>
        </is>
      </c>
      <c r="AG56" s="4" t="inlineStr"/>
      <c r="AH56" s="4" t="inlineStr">
        <is>
          <t>New strings</t>
        </is>
      </c>
      <c r="AI56" s="4" t="inlineStr">
        <is>
          <t>Missing</t>
        </is>
      </c>
      <c r="AJ56" s="4" t="inlineStr"/>
      <c r="AK56" s="4" t="inlineStr">
        <is>
          <t>FR-10</t>
        </is>
      </c>
      <c r="AL56" s="22">
        <f>AD56&amp;"|"&amp;COUNTIF(AD$2:AD56,AD56)</f>
        <v/>
      </c>
    </row>
    <row r="57" ht="85" customHeight="1">
      <c r="A57" s="17" t="inlineStr">
        <is>
          <t>LS-090</t>
        </is>
      </c>
      <c r="B57" s="4" t="inlineStr">
        <is>
          <t>Story</t>
        </is>
      </c>
      <c r="C57" s="4" t="inlineStr">
        <is>
          <t>LS-EPIC-08</t>
        </is>
      </c>
      <c r="D57" s="4" t="inlineStr">
        <is>
          <t>Reader screen</t>
        </is>
      </c>
      <c r="E57" s="4" t="inlineStr">
        <is>
          <t>Implement SCR-10: page indicator, A−/A+ (0.9–1.3 step 0.1 from config), progress bar, title, cover on page 1, paragraph, prev/next disabled states, play → Player.</t>
        </is>
      </c>
      <c r="F57" s="4" t="inlineStr">
        <is>
          <t>As a child, I want to read my story page by page with text I can see clearly.</t>
        </is>
      </c>
      <c r="G57" s="4" t="inlineStr">
        <is>
          <t>Bedtime reading/listening</t>
        </is>
      </c>
      <c r="H57" s="4" t="inlineStr">
        <is>
          <t>High</t>
        </is>
      </c>
      <c r="I57" s="4" t="inlineStr">
        <is>
          <t>Must</t>
        </is>
      </c>
      <c r="J57" s="4" t="inlineStr">
        <is>
          <t>P5</t>
        </is>
      </c>
      <c r="K57" s="4" t="inlineStr">
        <is>
          <t>:feature:reader</t>
        </is>
      </c>
      <c r="L57" s="5" t="inlineStr">
        <is>
          <t>SCR-10</t>
        </is>
      </c>
      <c r="M57" s="5" t="inlineStr">
        <is>
          <t>SCR-10 Reader → 11-reader.jpg</t>
        </is>
      </c>
      <c r="N57" s="4" t="inlineStr">
        <is>
          <t>LS-018, LS-036, LS-050</t>
        </is>
      </c>
      <c r="O57" s="4" t="inlineStr">
        <is>
          <t>Blocks: LS-120, LS-121, LS-122, LS-123, LS-125, LS-126
Blocked by: LS-018, LS-036, LS-050</t>
        </is>
      </c>
      <c r="P57" s="4" t="inlineStr">
        <is>
          <t>1. Pagination and disabled states correct
2. Text size persists
3. Respects system font scale; KN line height</t>
        </is>
      </c>
      <c r="Q57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57" s="4" t="inlineStr">
        <is>
          <t>Use tokens, string resources (EN+KN) and AppConfig only. UiState + StateFlow; UiText for messages; preview in EN/KN.</t>
        </is>
      </c>
      <c r="S57" s="4" t="inlineStr">
        <is>
          <t>ViewModel unit · UI test · Screenshot EN/KN</t>
        </is>
      </c>
      <c r="T57" s="4" t="inlineStr"/>
      <c r="U57" s="4" t="n">
        <v>3</v>
      </c>
      <c r="V57" s="4" t="inlineStr">
        <is>
          <t>Medium</t>
        </is>
      </c>
      <c r="W57" s="4" t="inlineStr">
        <is>
          <t>Low</t>
        </is>
      </c>
      <c r="X57" s="4" t="inlineStr">
        <is>
          <t>Jetpack Compose UI Engineer</t>
        </is>
      </c>
      <c r="Y57" s="4" t="inlineStr">
        <is>
          <t>Yes</t>
        </is>
      </c>
      <c r="Z57" s="4" t="inlineStr">
        <is>
          <t>Low</t>
        </is>
      </c>
      <c r="AA57" s="4" t="inlineStr">
        <is>
          <t>feature/LS-090-reader-screen</t>
        </is>
      </c>
      <c r="AB57" s="4" t="inlineStr"/>
      <c r="AC57" s="4" t="inlineStr"/>
      <c r="AD57" s="4" t="inlineStr">
        <is>
          <t>To Do</t>
        </is>
      </c>
      <c r="AE57" s="4" t="inlineStr">
        <is>
          <t>Project owner (human)</t>
        </is>
      </c>
      <c r="AF57" s="4" t="inlineStr">
        <is>
          <t>Awaiting Approval C</t>
        </is>
      </c>
      <c r="AG57" s="4" t="inlineStr"/>
      <c r="AH57" s="4" t="inlineStr">
        <is>
          <t>Layout risk</t>
        </is>
      </c>
      <c r="AI57" s="4" t="inlineStr">
        <is>
          <t>Missing</t>
        </is>
      </c>
      <c r="AJ57" s="4" t="inlineStr"/>
      <c r="AK57" s="4" t="inlineStr">
        <is>
          <t>FR-11</t>
        </is>
      </c>
      <c r="AL57" s="22">
        <f>AD57&amp;"|"&amp;COUNTIF(AD$2:AD57,AD57)</f>
        <v/>
      </c>
    </row>
    <row r="58" ht="85" customHeight="1">
      <c r="A58" s="17" t="inlineStr">
        <is>
          <t>LS-091</t>
        </is>
      </c>
      <c r="B58" s="4" t="inlineStr">
        <is>
          <t>Story</t>
        </is>
      </c>
      <c r="C58" s="4" t="inlineStr">
        <is>
          <t>LS-EPIC-08</t>
        </is>
      </c>
      <c r="D58" s="4" t="inlineStr">
        <is>
          <t>Reading &amp; listening progress persistence</t>
        </is>
      </c>
      <c r="E58" s="4" t="inlineStr">
        <is>
          <t>ProgressRepository; Home continue card and My Stories recently played read from it.</t>
        </is>
      </c>
      <c r="F58" s="4" t="inlineStr">
        <is>
          <t>–</t>
        </is>
      </c>
      <c r="G58" s="4" t="inlineStr">
        <is>
          <t>Bedtime reading/listening</t>
        </is>
      </c>
      <c r="H58" s="4" t="inlineStr">
        <is>
          <t>Medium</t>
        </is>
      </c>
      <c r="I58" s="4" t="inlineStr">
        <is>
          <t>Should</t>
        </is>
      </c>
      <c r="J58" s="4" t="inlineStr">
        <is>
          <t>P5</t>
        </is>
      </c>
      <c r="K58" s="4" t="inlineStr">
        <is>
          <t>:data</t>
        </is>
      </c>
      <c r="L58" s="5" t="inlineStr">
        <is>
          <t>SCR-03, SCR-10, SCR-11a, SCR-12</t>
        </is>
      </c>
      <c r="M58" s="5" t="inlineStr">
        <is>
          <t>SCR-03 Home → 05-home.jpg
SCR-10 Reader → 11-reader.jpg
SCR-11a Player → 12-player.jpg
SCR-12 My Stories → 14-my-stories.jpg</t>
        </is>
      </c>
      <c r="N58" s="4" t="inlineStr">
        <is>
          <t>LS-038</t>
        </is>
      </c>
      <c r="O58" s="4" t="inlineStr">
        <is>
          <t>Blocks: LS-092, LS-100, LS-120, LS-121, LS-122, LS-123, LS-125, LS-126
Blocked by: LS-038</t>
        </is>
      </c>
      <c r="P58" s="4" t="inlineStr">
        <is>
          <t>1. Resume opens last page/position
2. Progress % shown correctly</t>
        </is>
      </c>
      <c r="Q58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58" s="4" t="inlineStr">
        <is>
          <t>Use tokens, string resources (EN+KN) and AppConfig only.</t>
        </is>
      </c>
      <c r="S58" s="4" t="inlineStr">
        <is>
          <t>Unit + Room tests</t>
        </is>
      </c>
      <c r="T58" s="4" t="inlineStr"/>
      <c r="U58" s="4" t="n">
        <v>2</v>
      </c>
      <c r="V58" s="4" t="inlineStr">
        <is>
          <t>Low</t>
        </is>
      </c>
      <c r="W58" s="4" t="inlineStr">
        <is>
          <t>Low</t>
        </is>
      </c>
      <c r="X58" s="4" t="inlineStr">
        <is>
          <t>Data &amp; Persistence Engineer</t>
        </is>
      </c>
      <c r="Y58" s="4" t="inlineStr">
        <is>
          <t>After deps</t>
        </is>
      </c>
      <c r="Z58" s="4" t="inlineStr">
        <is>
          <t>Low</t>
        </is>
      </c>
      <c r="AA58" s="4" t="inlineStr">
        <is>
          <t>feature/LS-091-reading-listening-progress-persistence</t>
        </is>
      </c>
      <c r="AB58" s="4" t="inlineStr"/>
      <c r="AC58" s="4" t="inlineStr"/>
      <c r="AD58" s="4" t="inlineStr">
        <is>
          <t>To Do</t>
        </is>
      </c>
      <c r="AE58" s="4" t="inlineStr">
        <is>
          <t>Project owner (human)</t>
        </is>
      </c>
      <c r="AF58" s="4" t="inlineStr">
        <is>
          <t>Awaiting Approval C</t>
        </is>
      </c>
      <c r="AG58" s="4" t="inlineStr"/>
      <c r="AH58" s="4" t="inlineStr">
        <is>
          <t>None</t>
        </is>
      </c>
      <c r="AI58" s="4" t="inlineStr">
        <is>
          <t>N/A</t>
        </is>
      </c>
      <c r="AJ58" s="4" t="inlineStr"/>
      <c r="AK58" s="4" t="inlineStr">
        <is>
          <t>FR-24</t>
        </is>
      </c>
      <c r="AL58" s="22">
        <f>AD58&amp;"|"&amp;COUNTIF(AD$2:AD58,AD58)</f>
        <v/>
      </c>
    </row>
    <row r="59" ht="85" customHeight="1">
      <c r="A59" s="17" t="inlineStr">
        <is>
          <t>LS-092</t>
        </is>
      </c>
      <c r="B59" s="4" t="inlineStr">
        <is>
          <t>Story</t>
        </is>
      </c>
      <c r="C59" s="4" t="inlineStr">
        <is>
          <t>LS-EPIC-08</t>
        </is>
      </c>
      <c r="D59" s="4" t="inlineStr">
        <is>
          <t>Simulated audio player</t>
        </is>
      </c>
      <c r="E59" s="4" t="inlineStr">
        <is>
          <t>Implement SCR-11a: playback state machine (play/pause, seek, ±15 s, chapters, speed cycle, volume), download/favourite toggles, 'Story text' → Reader; visible 'simulated narration' label per NFR-12.</t>
        </is>
      </c>
      <c r="F59" s="4" t="inlineStr">
        <is>
          <t>–</t>
        </is>
      </c>
      <c r="G59" s="4" t="inlineStr">
        <is>
          <t>Bedtime reading/listening</t>
        </is>
      </c>
      <c r="H59" s="4" t="inlineStr">
        <is>
          <t>High</t>
        </is>
      </c>
      <c r="I59" s="4" t="inlineStr">
        <is>
          <t>Should</t>
        </is>
      </c>
      <c r="J59" s="4" t="inlineStr">
        <is>
          <t>P5</t>
        </is>
      </c>
      <c r="K59" s="4" t="inlineStr">
        <is>
          <t>:feature:reader</t>
        </is>
      </c>
      <c r="L59" s="5" t="inlineStr">
        <is>
          <t>SCR-11a</t>
        </is>
      </c>
      <c r="M59" s="5" t="inlineStr">
        <is>
          <t>SCR-11a Player → 12-player.jpg</t>
        </is>
      </c>
      <c r="N59" s="4" t="inlineStr">
        <is>
          <t>LS-018, LS-017, LS-091, LS-033</t>
        </is>
      </c>
      <c r="O59" s="4" t="inlineStr">
        <is>
          <t>Blocks: LS-093, LS-094, LS-120, LS-121, LS-122, LS-123, LS-125, LS-126
Blocked by: LS-018, LS-017, LS-091, LS-033</t>
        </is>
      </c>
      <c r="P59" s="4" t="inlineStr">
        <is>
          <t>1. Controls behave as spec
2. Timer text formatted mm:ss
3. Simulation clearly indicated</t>
        </is>
      </c>
      <c r="Q59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59" s="4" t="inlineStr">
        <is>
          <t>Use tokens, string resources (EN+KN) and AppConfig only. UiState + StateFlow; UiText for messages; preview in EN/KN.</t>
        </is>
      </c>
      <c r="S59" s="4" t="inlineStr">
        <is>
          <t>Unit: state machine · UI test · Screenshot EN/KN</t>
        </is>
      </c>
      <c r="T59" s="4" t="inlineStr"/>
      <c r="U59" s="4" t="n">
        <v>5</v>
      </c>
      <c r="V59" s="4" t="inlineStr">
        <is>
          <t>High</t>
        </is>
      </c>
      <c r="W59" s="4" t="inlineStr">
        <is>
          <t>Medium</t>
        </is>
      </c>
      <c r="X59" s="4" t="inlineStr">
        <is>
          <t>Jetpack Compose UI Engineer</t>
        </is>
      </c>
      <c r="Y59" s="4" t="inlineStr">
        <is>
          <t>After deps</t>
        </is>
      </c>
      <c r="Z59" s="4" t="inlineStr">
        <is>
          <t>Low</t>
        </is>
      </c>
      <c r="AA59" s="4" t="inlineStr">
        <is>
          <t>feature/LS-092-simulated-audio-player</t>
        </is>
      </c>
      <c r="AB59" s="4" t="inlineStr"/>
      <c r="AC59" s="4" t="inlineStr"/>
      <c r="AD59" s="4" t="inlineStr">
        <is>
          <t>To Do</t>
        </is>
      </c>
      <c r="AE59" s="4" t="inlineStr">
        <is>
          <t>Project owner (human)</t>
        </is>
      </c>
      <c r="AF59" s="4" t="inlineStr">
        <is>
          <t>Awaiting Approval C</t>
        </is>
      </c>
      <c r="AG59" s="4" t="inlineStr"/>
      <c r="AH59" s="4" t="inlineStr">
        <is>
          <t>New strings</t>
        </is>
      </c>
      <c r="AI59" s="4" t="inlineStr">
        <is>
          <t>Missing</t>
        </is>
      </c>
      <c r="AJ59" s="4" t="inlineStr"/>
      <c r="AK59" s="4" t="inlineStr">
        <is>
          <t>FR-12, NFR-12</t>
        </is>
      </c>
      <c r="AL59" s="22">
        <f>AD59&amp;"|"&amp;COUNTIF(AD$2:AD59,AD59)</f>
        <v/>
      </c>
    </row>
    <row r="60" ht="85" customHeight="1">
      <c r="A60" s="17" t="inlineStr">
        <is>
          <t>LS-093</t>
        </is>
      </c>
      <c r="B60" s="4" t="inlineStr">
        <is>
          <t>Story</t>
        </is>
      </c>
      <c r="C60" s="4" t="inlineStr">
        <is>
          <t>LS-EPIC-08</t>
        </is>
      </c>
      <c r="D60" s="4" t="inlineStr">
        <is>
          <t>Sleep timer bottom sheet</t>
        </is>
      </c>
      <c r="E60" s="4" t="inlineStr">
        <is>
          <t>Implement SCR-11b with options from AppConfig; selected label replaces 'Sleep timer'; simulated stop at end.</t>
        </is>
      </c>
      <c r="F60" s="4" t="inlineStr">
        <is>
          <t>–</t>
        </is>
      </c>
      <c r="G60" s="4" t="inlineStr">
        <is>
          <t>Bedtime reading/listening</t>
        </is>
      </c>
      <c r="H60" s="4" t="inlineStr">
        <is>
          <t>Medium</t>
        </is>
      </c>
      <c r="I60" s="4" t="inlineStr">
        <is>
          <t>Should</t>
        </is>
      </c>
      <c r="J60" s="4" t="inlineStr">
        <is>
          <t>P5</t>
        </is>
      </c>
      <c r="K60" s="4" t="inlineStr">
        <is>
          <t>:feature:reader</t>
        </is>
      </c>
      <c r="L60" s="5" t="inlineStr">
        <is>
          <t>SCR-11b</t>
        </is>
      </c>
      <c r="M60" s="5" t="inlineStr">
        <is>
          <t>SCR-11b Player – Sleep timer sheet → 13-player-sleep-timer-sheet.jpg</t>
        </is>
      </c>
      <c r="N60" s="4" t="inlineStr">
        <is>
          <t>LS-092</t>
        </is>
      </c>
      <c r="O60" s="4" t="inlineStr">
        <is>
          <t>Blocks: LS-120, LS-121, LS-122, LS-123, LS-125, LS-126
Blocked by: LS-092</t>
        </is>
      </c>
      <c r="P60" s="4" t="inlineStr">
        <is>
          <t>1. Selecting option closes sheet and updates button
2. Cancel/tap outside dismisses</t>
        </is>
      </c>
      <c r="Q60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60" s="4" t="inlineStr">
        <is>
          <t>Use tokens, string resources (EN+KN) and AppConfig only. UiState + StateFlow; UiText for messages; preview in EN/KN.</t>
        </is>
      </c>
      <c r="S60" s="4" t="inlineStr">
        <is>
          <t>UI test · Screenshot EN/KN</t>
        </is>
      </c>
      <c r="T60" s="4" t="inlineStr"/>
      <c r="U60" s="4" t="n">
        <v>2</v>
      </c>
      <c r="V60" s="4" t="inlineStr">
        <is>
          <t>Low</t>
        </is>
      </c>
      <c r="W60" s="4" t="inlineStr">
        <is>
          <t>Low</t>
        </is>
      </c>
      <c r="X60" s="4" t="inlineStr">
        <is>
          <t>Jetpack Compose UI Engineer</t>
        </is>
      </c>
      <c r="Y60" s="4" t="inlineStr">
        <is>
          <t>After deps</t>
        </is>
      </c>
      <c r="Z60" s="4" t="inlineStr">
        <is>
          <t>Low</t>
        </is>
      </c>
      <c r="AA60" s="4" t="inlineStr">
        <is>
          <t>feature/LS-093-sleep-timer-bottom-sheet</t>
        </is>
      </c>
      <c r="AB60" s="4" t="inlineStr"/>
      <c r="AC60" s="4" t="inlineStr"/>
      <c r="AD60" s="4" t="inlineStr">
        <is>
          <t>To Do</t>
        </is>
      </c>
      <c r="AE60" s="4" t="inlineStr">
        <is>
          <t>Project owner (human)</t>
        </is>
      </c>
      <c r="AF60" s="4" t="inlineStr">
        <is>
          <t>Awaiting Approval C</t>
        </is>
      </c>
      <c r="AG60" s="4" t="inlineStr"/>
      <c r="AH60" s="4" t="inlineStr">
        <is>
          <t>New strings</t>
        </is>
      </c>
      <c r="AI60" s="4" t="inlineStr">
        <is>
          <t>Missing</t>
        </is>
      </c>
      <c r="AJ60" s="4" t="inlineStr"/>
      <c r="AK60" s="4" t="inlineStr">
        <is>
          <t>FR-12</t>
        </is>
      </c>
      <c r="AL60" s="22">
        <f>AD60&amp;"|"&amp;COUNTIF(AD$2:AD60,AD60)</f>
        <v/>
      </c>
    </row>
    <row r="61" ht="85" customHeight="1">
      <c r="A61" s="17" t="inlineStr">
        <is>
          <t>LS-094</t>
        </is>
      </c>
      <c r="B61" s="4" t="inlineStr">
        <is>
          <t>Bug</t>
        </is>
      </c>
      <c r="C61" s="4" t="inlineStr">
        <is>
          <t>LS-EPIC-08</t>
        </is>
      </c>
      <c r="D61" s="4" t="inlineStr">
        <is>
          <t>Fix overlapping 15 s rewind/forward glyphs</t>
        </is>
      </c>
      <c r="E61" s="4" t="inlineStr">
        <is>
          <t>Design defect: '15' text and ↶/↷ glyphs overlap. Use dedicated icons from LS-013.</t>
        </is>
      </c>
      <c r="F61" s="4" t="inlineStr">
        <is>
          <t>–</t>
        </is>
      </c>
      <c r="G61" s="4" t="inlineStr">
        <is>
          <t>Bedtime reading/listening</t>
        </is>
      </c>
      <c r="H61" s="4" t="inlineStr">
        <is>
          <t>Medium</t>
        </is>
      </c>
      <c r="I61" s="4" t="inlineStr">
        <is>
          <t>Must</t>
        </is>
      </c>
      <c r="J61" s="4" t="inlineStr">
        <is>
          <t>P5</t>
        </is>
      </c>
      <c r="K61" s="4" t="inlineStr">
        <is>
          <t>:feature:reader</t>
        </is>
      </c>
      <c r="L61" s="5" t="inlineStr">
        <is>
          <t>SCR-11a</t>
        </is>
      </c>
      <c r="M61" s="5" t="inlineStr">
        <is>
          <t>SCR-11a Player → 12-player.jpg</t>
        </is>
      </c>
      <c r="N61" s="4" t="inlineStr">
        <is>
          <t>LS-092, LS-013</t>
        </is>
      </c>
      <c r="O61" s="4" t="inlineStr">
        <is>
          <t>Blocks: LS-120, LS-121, LS-122, LS-123, LS-125, LS-126
Blocked by: LS-092, LS-013</t>
        </is>
      </c>
      <c r="P61" s="4" t="inlineStr">
        <is>
          <t>1. Icons legible, labelled 'Rewind 15 seconds'/'Forward 15 seconds'</t>
        </is>
      </c>
      <c r="Q61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61" s="4" t="inlineStr">
        <is>
          <t>Use tokens, string resources (EN+KN) and AppConfig only. UiState + StateFlow; UiText for messages; preview in EN/KN.</t>
        </is>
      </c>
      <c r="S61" s="4" t="inlineStr">
        <is>
          <t>Screenshot</t>
        </is>
      </c>
      <c r="T61" s="4" t="inlineStr"/>
      <c r="U61" s="4" t="n">
        <v>1</v>
      </c>
      <c r="V61" s="4" t="inlineStr">
        <is>
          <t>Low</t>
        </is>
      </c>
      <c r="W61" s="4" t="inlineStr">
        <is>
          <t>Low</t>
        </is>
      </c>
      <c r="X61" s="4" t="inlineStr">
        <is>
          <t>Jetpack Compose UI Engineer</t>
        </is>
      </c>
      <c r="Y61" s="4" t="inlineStr">
        <is>
          <t>After deps</t>
        </is>
      </c>
      <c r="Z61" s="4" t="inlineStr">
        <is>
          <t>Low</t>
        </is>
      </c>
      <c r="AA61" s="4" t="inlineStr">
        <is>
          <t>feature/LS-094-fix-overlapping-15-s-rewind</t>
        </is>
      </c>
      <c r="AB61" s="4" t="inlineStr"/>
      <c r="AC61" s="4" t="inlineStr"/>
      <c r="AD61" s="4" t="inlineStr">
        <is>
          <t>To Do</t>
        </is>
      </c>
      <c r="AE61" s="4" t="inlineStr">
        <is>
          <t>Project owner (human)</t>
        </is>
      </c>
      <c r="AF61" s="4" t="inlineStr">
        <is>
          <t>Awaiting Approval C</t>
        </is>
      </c>
      <c r="AG61" s="4" t="inlineStr"/>
      <c r="AH61" s="4" t="inlineStr">
        <is>
          <t>None</t>
        </is>
      </c>
      <c r="AI61" s="4" t="inlineStr">
        <is>
          <t>N/A</t>
        </is>
      </c>
      <c r="AJ61" s="4" t="inlineStr"/>
      <c r="AK61" s="4" t="inlineStr">
        <is>
          <t>NFR-04</t>
        </is>
      </c>
      <c r="AL61" s="22">
        <f>AD61&amp;"|"&amp;COUNTIF(AD$2:AD61,AD61)</f>
        <v/>
      </c>
    </row>
    <row r="62" ht="85" customHeight="1">
      <c r="A62" s="17" t="inlineStr">
        <is>
          <t>LS-100</t>
        </is>
      </c>
      <c r="B62" s="4" t="inlineStr">
        <is>
          <t>Story</t>
        </is>
      </c>
      <c r="C62" s="4" t="inlineStr">
        <is>
          <t>LS-EPIC-09</t>
        </is>
      </c>
      <c r="D62" s="4" t="inlineStr">
        <is>
          <t>My Stories library</t>
        </is>
      </c>
      <c r="E62" s="4" t="inlineStr">
        <is>
          <t>Implement SCR-12: search, tabs All/Created by Me/Downloaded/Favourites, recently played card, collection list, two empty states, download icon → Downloads.</t>
        </is>
      </c>
      <c r="F62" s="4" t="inlineStr">
        <is>
          <t>–</t>
        </is>
      </c>
      <c r="G62" s="4" t="inlineStr">
        <is>
          <t>Re-engagement</t>
        </is>
      </c>
      <c r="H62" s="4" t="inlineStr">
        <is>
          <t>High</t>
        </is>
      </c>
      <c r="I62" s="4" t="inlineStr">
        <is>
          <t>Must</t>
        </is>
      </c>
      <c r="J62" s="4" t="inlineStr">
        <is>
          <t>P5</t>
        </is>
      </c>
      <c r="K62" s="4" t="inlineStr">
        <is>
          <t>:feature:library</t>
        </is>
      </c>
      <c r="L62" s="5" t="inlineStr">
        <is>
          <t>SCR-12</t>
        </is>
      </c>
      <c r="M62" s="5" t="inlineStr">
        <is>
          <t>SCR-12 My Stories → 14-my-stories.jpg</t>
        </is>
      </c>
      <c r="N62" s="4" t="inlineStr">
        <is>
          <t>LS-018, LS-016, LS-075, LS-091</t>
        </is>
      </c>
      <c r="O62" s="4" t="inlineStr">
        <is>
          <t>Blocks: LS-120, LS-121, LS-122, LS-123, LS-125, LS-126
Blocked by: LS-018, LS-016, LS-075, LS-091</t>
        </is>
      </c>
      <c r="P62" s="4" t="inlineStr">
        <is>
          <t>1. Each tab shows correct subset
2. Empty states per tab
3. Search within tab</t>
        </is>
      </c>
      <c r="Q62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62" s="4" t="inlineStr">
        <is>
          <t>Use tokens, string resources (EN+KN) and AppConfig only. UiState + StateFlow; UiText for messages; preview in EN/KN.</t>
        </is>
      </c>
      <c r="S62" s="4" t="inlineStr">
        <is>
          <t>ViewModel unit · UI test · Screenshot EN/KN (each tab + empties)</t>
        </is>
      </c>
      <c r="T62" s="4" t="inlineStr"/>
      <c r="U62" s="4" t="n">
        <v>5</v>
      </c>
      <c r="V62" s="4" t="inlineStr">
        <is>
          <t>High</t>
        </is>
      </c>
      <c r="W62" s="4" t="inlineStr">
        <is>
          <t>Low</t>
        </is>
      </c>
      <c r="X62" s="4" t="inlineStr">
        <is>
          <t>Jetpack Compose UI Engineer</t>
        </is>
      </c>
      <c r="Y62" s="4" t="inlineStr">
        <is>
          <t>After deps</t>
        </is>
      </c>
      <c r="Z62" s="4" t="inlineStr">
        <is>
          <t>Low</t>
        </is>
      </c>
      <c r="AA62" s="4" t="inlineStr">
        <is>
          <t>feature/LS-100-my-stories-library</t>
        </is>
      </c>
      <c r="AB62" s="4" t="inlineStr"/>
      <c r="AC62" s="4" t="inlineStr"/>
      <c r="AD62" s="4" t="inlineStr">
        <is>
          <t>To Do</t>
        </is>
      </c>
      <c r="AE62" s="4" t="inlineStr">
        <is>
          <t>Project owner (human)</t>
        </is>
      </c>
      <c r="AF62" s="4" t="inlineStr">
        <is>
          <t>Awaiting Approval C</t>
        </is>
      </c>
      <c r="AG62" s="4" t="inlineStr"/>
      <c r="AH62" s="4" t="inlineStr">
        <is>
          <t>New strings</t>
        </is>
      </c>
      <c r="AI62" s="4" t="inlineStr">
        <is>
          <t>Missing</t>
        </is>
      </c>
      <c r="AJ62" s="4" t="inlineStr"/>
      <c r="AK62" s="4" t="inlineStr">
        <is>
          <t>FR-14</t>
        </is>
      </c>
      <c r="AL62" s="22">
        <f>AD62&amp;"|"&amp;COUNTIF(AD$2:AD62,AD62)</f>
        <v/>
      </c>
    </row>
    <row r="63" ht="85" customHeight="1">
      <c r="A63" s="17" t="inlineStr">
        <is>
          <t>LS-101</t>
        </is>
      </c>
      <c r="B63" s="4" t="inlineStr">
        <is>
          <t>Story</t>
        </is>
      </c>
      <c r="C63" s="4" t="inlineStr">
        <is>
          <t>LS-EPIC-09</t>
        </is>
      </c>
      <c r="D63" s="4" t="inlineStr">
        <is>
          <t>Simulated downloads + Offline Downloads screen</t>
        </is>
      </c>
      <c r="E63" s="4" t="inlineStr">
        <is>
          <t>DownloadsRepository (simulated sizes), toggle from Detail/Player/Story Ready; SCR-17 storage card, list, remove, empty, tip.</t>
        </is>
      </c>
      <c r="F63" s="4" t="inlineStr">
        <is>
          <t>–</t>
        </is>
      </c>
      <c r="G63" s="4" t="inlineStr">
        <is>
          <t>Re-engagement</t>
        </is>
      </c>
      <c r="H63" s="4" t="inlineStr">
        <is>
          <t>Medium</t>
        </is>
      </c>
      <c r="I63" s="4" t="inlineStr">
        <is>
          <t>Could</t>
        </is>
      </c>
      <c r="J63" s="4" t="inlineStr">
        <is>
          <t>P6</t>
        </is>
      </c>
      <c r="K63" s="4" t="inlineStr">
        <is>
          <t>:feature:library</t>
        </is>
      </c>
      <c r="L63" s="5" t="inlineStr">
        <is>
          <t>SCR-17</t>
        </is>
      </c>
      <c r="M63" s="5" t="inlineStr">
        <is>
          <t>SCR-17 Offline Downloads → 18-offline-downloads.jpg</t>
        </is>
      </c>
      <c r="N63" s="4" t="inlineStr">
        <is>
          <t>LS-038, LS-018, LS-017</t>
        </is>
      </c>
      <c r="O63" s="4" t="inlineStr">
        <is>
          <t>Blocks: LS-120, LS-121, LS-122, LS-123, LS-125, LS-126
Blocked by: LS-038, LS-018, LS-017</t>
        </is>
      </c>
      <c r="P63" s="4" t="inlineStr">
        <is>
          <t>1. Download toggles reflect everywhere
2. Storage total computed
3. Remove updates list</t>
        </is>
      </c>
      <c r="Q63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63" s="4" t="inlineStr">
        <is>
          <t>Use tokens, string resources (EN+KN) and AppConfig only. UiState + StateFlow; UiText for messages; preview in EN/KN.</t>
        </is>
      </c>
      <c r="S63" s="4" t="inlineStr">
        <is>
          <t>Unit · UI test · Screenshot EN/KN</t>
        </is>
      </c>
      <c r="T63" s="4" t="inlineStr"/>
      <c r="U63" s="4" t="n">
        <v>3</v>
      </c>
      <c r="V63" s="4" t="inlineStr">
        <is>
          <t>Medium</t>
        </is>
      </c>
      <c r="W63" s="4" t="inlineStr">
        <is>
          <t>Low</t>
        </is>
      </c>
      <c r="X63" s="4" t="inlineStr">
        <is>
          <t>Jetpack Compose UI Engineer</t>
        </is>
      </c>
      <c r="Y63" s="4" t="inlineStr">
        <is>
          <t>Yes</t>
        </is>
      </c>
      <c r="Z63" s="4" t="inlineStr">
        <is>
          <t>Low</t>
        </is>
      </c>
      <c r="AA63" s="4" t="inlineStr">
        <is>
          <t>feature/LS-101-simulated-downloads-offline-downloads-screen</t>
        </is>
      </c>
      <c r="AB63" s="4" t="inlineStr"/>
      <c r="AC63" s="4" t="inlineStr"/>
      <c r="AD63" s="4" t="inlineStr">
        <is>
          <t>To Do</t>
        </is>
      </c>
      <c r="AE63" s="4" t="inlineStr">
        <is>
          <t>Project owner (human)</t>
        </is>
      </c>
      <c r="AF63" s="4" t="inlineStr">
        <is>
          <t>Awaiting Approval C</t>
        </is>
      </c>
      <c r="AG63" s="4" t="inlineStr"/>
      <c r="AH63" s="4" t="inlineStr">
        <is>
          <t>New strings</t>
        </is>
      </c>
      <c r="AI63" s="4" t="inlineStr">
        <is>
          <t>Missing</t>
        </is>
      </c>
      <c r="AJ63" s="4" t="inlineStr"/>
      <c r="AK63" s="4" t="inlineStr">
        <is>
          <t>FR-15, NFR-12</t>
        </is>
      </c>
      <c r="AL63" s="22">
        <f>AD63&amp;"|"&amp;COUNTIF(AD$2:AD63,AD63)</f>
        <v/>
      </c>
    </row>
    <row r="64" ht="85" customHeight="1">
      <c r="A64" s="17" t="inlineStr">
        <is>
          <t>LS-110</t>
        </is>
      </c>
      <c r="B64" s="4" t="inlineStr">
        <is>
          <t>Story</t>
        </is>
      </c>
      <c r="C64" s="4" t="inlineStr">
        <is>
          <t>LS-EPIC-10</t>
        </is>
      </c>
      <c r="D64" s="4" t="inlineStr">
        <is>
          <t>Profile / settings hub</t>
        </is>
      </c>
      <c r="E64" s="4" t="inlineStr">
        <is>
          <t>Implement SCR-13: parent card, CHILDREN / EXPERIENCE / LITTLESTORY groups, rows with separate toggle targets (no nested interactive), subtitles from live data, footer.</t>
        </is>
      </c>
      <c r="F64" s="4" t="inlineStr">
        <is>
          <t>–</t>
        </is>
      </c>
      <c r="G64" s="4" t="inlineStr">
        <is>
          <t>Parent trust and control</t>
        </is>
      </c>
      <c r="H64" s="4" t="inlineStr">
        <is>
          <t>High</t>
        </is>
      </c>
      <c r="I64" s="4" t="inlineStr">
        <is>
          <t>Must</t>
        </is>
      </c>
      <c r="J64" s="4" t="inlineStr">
        <is>
          <t>P6</t>
        </is>
      </c>
      <c r="K64" s="4" t="inlineStr">
        <is>
          <t>:feature:settings</t>
        </is>
      </c>
      <c r="L64" s="5" t="inlineStr">
        <is>
          <t>SCR-13</t>
        </is>
      </c>
      <c r="M64" s="5" t="inlineStr">
        <is>
          <t>SCR-13 Profile (settings hub) → 15-profile-settings.jpg</t>
        </is>
      </c>
      <c r="N64" s="4" t="inlineStr">
        <is>
          <t>LS-016, LS-050, LS-062</t>
        </is>
      </c>
      <c r="O64" s="4" t="inlineStr">
        <is>
          <t>Blocks: LS-046, LS-111, LS-114, LS-115, LS-120, LS-121, LS-122, LS-123, LS-125, LS-126
Blocked by: LS-016, LS-050, LS-062</t>
        </is>
      </c>
      <c r="P64" s="4" t="inlineStr">
        <is>
          <t>1. Toggles independent from row navigation
2. Subtitles reflect real settings
3. Rows route to real screens (or disabled per LS-004)</t>
        </is>
      </c>
      <c r="Q64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64" s="4" t="inlineStr">
        <is>
          <t>Use tokens, string resources (EN+KN) and AppConfig only. UiState + StateFlow; UiText for messages; preview in EN/KN.</t>
        </is>
      </c>
      <c r="S64" s="4" t="inlineStr">
        <is>
          <t>UI test · Screenshot EN/KN</t>
        </is>
      </c>
      <c r="T64" s="4" t="inlineStr"/>
      <c r="U64" s="4" t="n">
        <v>5</v>
      </c>
      <c r="V64" s="4" t="inlineStr">
        <is>
          <t>High</t>
        </is>
      </c>
      <c r="W64" s="4" t="inlineStr">
        <is>
          <t>Low</t>
        </is>
      </c>
      <c r="X64" s="4" t="inlineStr">
        <is>
          <t>Jetpack Compose UI Engineer</t>
        </is>
      </c>
      <c r="Y64" s="4" t="inlineStr">
        <is>
          <t>After deps</t>
        </is>
      </c>
      <c r="Z64" s="4" t="inlineStr">
        <is>
          <t>Low</t>
        </is>
      </c>
      <c r="AA64" s="4" t="inlineStr">
        <is>
          <t>feature/LS-110-profile-settings-hub</t>
        </is>
      </c>
      <c r="AB64" s="4" t="inlineStr"/>
      <c r="AC64" s="4" t="inlineStr"/>
      <c r="AD64" s="4" t="inlineStr">
        <is>
          <t>To Do</t>
        </is>
      </c>
      <c r="AE64" s="4" t="inlineStr">
        <is>
          <t>Project owner (human)</t>
        </is>
      </c>
      <c r="AF64" s="4" t="inlineStr">
        <is>
          <t>Awaiting Approval C</t>
        </is>
      </c>
      <c r="AG64" s="4" t="inlineStr"/>
      <c r="AH64" s="4" t="inlineStr">
        <is>
          <t>New strings</t>
        </is>
      </c>
      <c r="AI64" s="4" t="inlineStr">
        <is>
          <t>Missing</t>
        </is>
      </c>
      <c r="AJ64" s="4" t="inlineStr"/>
      <c r="AK64" s="4" t="inlineStr">
        <is>
          <t>FR-16, NFR-04</t>
        </is>
      </c>
      <c r="AL64" s="22">
        <f>AD64&amp;"|"&amp;COUNTIF(AD$2:AD64,AD64)</f>
        <v/>
      </c>
    </row>
    <row r="65" ht="85" customHeight="1">
      <c r="A65" s="17" t="inlineStr">
        <is>
          <t>LS-111</t>
        </is>
      </c>
      <c r="B65" s="4" t="inlineStr">
        <is>
          <t>Story</t>
        </is>
      </c>
      <c r="C65" s="4" t="inlineStr">
        <is>
          <t>LS-EPIC-10</t>
        </is>
      </c>
      <c r="D65" s="4" t="inlineStr">
        <is>
          <t>Bedtime Reminder settings</t>
        </is>
      </c>
      <c r="E65" s="4" t="inlineStr">
        <is>
          <t>Implement SCR-16: toggle, time picker (locale time), day buttons with full-name a11y labels, quiet row, save + toast; persist locally. Scheduling per LS-004 decision.</t>
        </is>
      </c>
      <c r="F65" s="4" t="inlineStr">
        <is>
          <t>–</t>
        </is>
      </c>
      <c r="G65" s="4" t="inlineStr">
        <is>
          <t>Parent trust and control</t>
        </is>
      </c>
      <c r="H65" s="4" t="inlineStr">
        <is>
          <t>Medium</t>
        </is>
      </c>
      <c r="I65" s="4" t="inlineStr">
        <is>
          <t>Could</t>
        </is>
      </c>
      <c r="J65" s="4" t="inlineStr">
        <is>
          <t>P6</t>
        </is>
      </c>
      <c r="K65" s="4" t="inlineStr">
        <is>
          <t>:feature:settings</t>
        </is>
      </c>
      <c r="L65" s="5" t="inlineStr">
        <is>
          <t>SCR-16</t>
        </is>
      </c>
      <c r="M65" s="5" t="inlineStr">
        <is>
          <t>SCR-16 Bedtime Reminder → 17-bedtime-reminder.jpg</t>
        </is>
      </c>
      <c r="N65" s="4" t="inlineStr">
        <is>
          <t>LS-110, LS-038, LS-004</t>
        </is>
      </c>
      <c r="O65" s="4" t="inlineStr">
        <is>
          <t>Blocks: LS-120, LS-121, LS-122, LS-123, LS-125, LS-126
Blocked by: LS-110, LS-038, LS-004</t>
        </is>
      </c>
      <c r="P65" s="4" t="inlineStr">
        <is>
          <t>1. Disabling disables time &amp; days
2. Saved values persist
3. Toast shows formatted time</t>
        </is>
      </c>
      <c r="Q65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65" s="4" t="inlineStr">
        <is>
          <t>Use tokens, string resources (EN+KN) and AppConfig only. UiState + StateFlow; UiText for messages; preview in EN/KN.</t>
        </is>
      </c>
      <c r="S65" s="4" t="inlineStr">
        <is>
          <t>Unit · UI test · Screenshot EN/KN</t>
        </is>
      </c>
      <c r="T65" s="4" t="inlineStr"/>
      <c r="U65" s="4" t="n">
        <v>3</v>
      </c>
      <c r="V65" s="4" t="inlineStr">
        <is>
          <t>Medium</t>
        </is>
      </c>
      <c r="W65" s="4" t="inlineStr">
        <is>
          <t>Low</t>
        </is>
      </c>
      <c r="X65" s="4" t="inlineStr">
        <is>
          <t>Jetpack Compose UI Engineer</t>
        </is>
      </c>
      <c r="Y65" s="4" t="inlineStr">
        <is>
          <t>Yes</t>
        </is>
      </c>
      <c r="Z65" s="4" t="inlineStr">
        <is>
          <t>Low</t>
        </is>
      </c>
      <c r="AA65" s="4" t="inlineStr">
        <is>
          <t>feature/LS-111-bedtime-reminder-settings</t>
        </is>
      </c>
      <c r="AB65" s="4" t="inlineStr"/>
      <c r="AC65" s="4" t="inlineStr"/>
      <c r="AD65" s="4" t="inlineStr">
        <is>
          <t>To Do</t>
        </is>
      </c>
      <c r="AE65" s="4" t="inlineStr">
        <is>
          <t>Project owner (human)</t>
        </is>
      </c>
      <c r="AF65" s="4" t="inlineStr">
        <is>
          <t>Awaiting Approval C</t>
        </is>
      </c>
      <c r="AG65" s="4" t="inlineStr"/>
      <c r="AH65" s="4" t="inlineStr">
        <is>
          <t>New strings</t>
        </is>
      </c>
      <c r="AI65" s="4" t="inlineStr">
        <is>
          <t>Missing</t>
        </is>
      </c>
      <c r="AJ65" s="4" t="inlineStr"/>
      <c r="AK65" s="4" t="inlineStr">
        <is>
          <t>FR-17</t>
        </is>
      </c>
      <c r="AL65" s="22">
        <f>AD65&amp;"|"&amp;COUNTIF(AD$2:AD65,AD65)</f>
        <v/>
      </c>
    </row>
    <row r="66" ht="85" customHeight="1">
      <c r="A66" s="17" t="inlineStr">
        <is>
          <t>LS-112</t>
        </is>
      </c>
      <c r="B66" s="4" t="inlineStr">
        <is>
          <t>Story</t>
        </is>
      </c>
      <c r="C66" s="4" t="inlineStr">
        <is>
          <t>LS-EPIC-10</t>
        </is>
      </c>
      <c r="D66" s="4" t="inlineStr">
        <is>
          <t>Notifications inbox (mock)</t>
        </is>
      </c>
      <c r="E66" s="4" t="inlineStr">
        <is>
          <t>Implement SCR-18 from per-language mock data: sections, unread dot + semantics, mark all read, deep links; empty state per LS-004.</t>
        </is>
      </c>
      <c r="F66" s="4" t="inlineStr">
        <is>
          <t>–</t>
        </is>
      </c>
      <c r="G66" s="4" t="inlineStr">
        <is>
          <t>Parent trust and control</t>
        </is>
      </c>
      <c r="H66" s="4" t="inlineStr">
        <is>
          <t>Low</t>
        </is>
      </c>
      <c r="I66" s="4" t="inlineStr">
        <is>
          <t>Could</t>
        </is>
      </c>
      <c r="J66" s="4" t="inlineStr">
        <is>
          <t>P6</t>
        </is>
      </c>
      <c r="K66" s="4" t="inlineStr">
        <is>
          <t>:feature:settings</t>
        </is>
      </c>
      <c r="L66" s="5" t="inlineStr">
        <is>
          <t>SCR-18</t>
        </is>
      </c>
      <c r="M66" s="5" t="inlineStr">
        <is>
          <t>SCR-18 Notifications → 19-notifications.jpg</t>
        </is>
      </c>
      <c r="N66" s="4" t="inlineStr">
        <is>
          <t>LS-050, LS-036</t>
        </is>
      </c>
      <c r="O66" s="4" t="inlineStr">
        <is>
          <t>Blocks: LS-120, LS-121, LS-122, LS-123, LS-125, LS-126
Blocked by: LS-050, LS-036</t>
        </is>
      </c>
      <c r="P66" s="4" t="inlineStr">
        <is>
          <t>1. Mark all read clears dots
2. Each row deep-links correctly</t>
        </is>
      </c>
      <c r="Q66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66" s="4" t="inlineStr">
        <is>
          <t>Use tokens, string resources (EN+KN) and AppConfig only. UiState + StateFlow; UiText for messages; preview in EN/KN.</t>
        </is>
      </c>
      <c r="S66" s="4" t="inlineStr">
        <is>
          <t>UI test · Screenshot EN/KN</t>
        </is>
      </c>
      <c r="T66" s="4" t="inlineStr"/>
      <c r="U66" s="4" t="n">
        <v>2</v>
      </c>
      <c r="V66" s="4" t="inlineStr">
        <is>
          <t>Low</t>
        </is>
      </c>
      <c r="W66" s="4" t="inlineStr">
        <is>
          <t>Low</t>
        </is>
      </c>
      <c r="X66" s="4" t="inlineStr">
        <is>
          <t>Jetpack Compose UI Engineer</t>
        </is>
      </c>
      <c r="Y66" s="4" t="inlineStr">
        <is>
          <t>Yes</t>
        </is>
      </c>
      <c r="Z66" s="4" t="inlineStr">
        <is>
          <t>Low</t>
        </is>
      </c>
      <c r="AA66" s="4" t="inlineStr">
        <is>
          <t>feature/LS-112-notifications-inbox-mock</t>
        </is>
      </c>
      <c r="AB66" s="4" t="inlineStr"/>
      <c r="AC66" s="4" t="inlineStr"/>
      <c r="AD66" s="4" t="inlineStr">
        <is>
          <t>To Do</t>
        </is>
      </c>
      <c r="AE66" s="4" t="inlineStr">
        <is>
          <t>Project owner (human)</t>
        </is>
      </c>
      <c r="AF66" s="4" t="inlineStr">
        <is>
          <t>Awaiting Approval C</t>
        </is>
      </c>
      <c r="AG66" s="4" t="inlineStr"/>
      <c r="AH66" s="4" t="inlineStr">
        <is>
          <t>Content</t>
        </is>
      </c>
      <c r="AI66" s="4" t="inlineStr">
        <is>
          <t>Missing</t>
        </is>
      </c>
      <c r="AJ66" s="4" t="inlineStr"/>
      <c r="AK66" s="4" t="inlineStr">
        <is>
          <t>FR-18</t>
        </is>
      </c>
      <c r="AL66" s="22">
        <f>AD66&amp;"|"&amp;COUNTIF(AD$2:AD66,AD66)</f>
        <v/>
      </c>
    </row>
    <row r="67" ht="85" customHeight="1">
      <c r="A67" s="17" t="inlineStr">
        <is>
          <t>LS-113</t>
        </is>
      </c>
      <c r="B67" s="4" t="inlineStr">
        <is>
          <t>Story</t>
        </is>
      </c>
      <c r="C67" s="4" t="inlineStr">
        <is>
          <t>LS-EPIC-10</t>
        </is>
      </c>
      <c r="D67" s="4" t="inlineStr">
        <is>
          <t>Demo subscription (feature-flagged) + dialog</t>
        </is>
      </c>
      <c r="E67" s="4" t="inlineStr">
        <is>
          <t>Implement SCR-15 behind demoSubscription flag: hero, benefits, plans from mock data with locale currency format, 'Illustrative pricing only' note, confirmation dialog, no billing.</t>
        </is>
      </c>
      <c r="F67" s="4" t="inlineStr">
        <is>
          <t>–</t>
        </is>
      </c>
      <c r="G67" s="4" t="inlineStr">
        <is>
          <t>Parent trust and control</t>
        </is>
      </c>
      <c r="H67" s="4" t="inlineStr">
        <is>
          <t>Low</t>
        </is>
      </c>
      <c r="I67" s="4" t="inlineStr">
        <is>
          <t>Could</t>
        </is>
      </c>
      <c r="J67" s="4" t="inlineStr">
        <is>
          <t>P6</t>
        </is>
      </c>
      <c r="K67" s="4" t="inlineStr">
        <is>
          <t>:feature:settings</t>
        </is>
      </c>
      <c r="L67" s="5" t="inlineStr">
        <is>
          <t>SCR-15</t>
        </is>
      </c>
      <c r="M67" s="5" t="inlineStr">
        <is>
          <t>SCR-15 Subscription (demo) + dialog → 16-subscription.jpg</t>
        </is>
      </c>
      <c r="N67" s="4" t="inlineStr">
        <is>
          <t>LS-017, LS-033, LS-004</t>
        </is>
      </c>
      <c r="O67" s="4" t="inlineStr">
        <is>
          <t>Blocks: LS-120, LS-121, LS-122, LS-123, LS-125, LS-126
Blocked by: LS-017, LS-033, LS-004</t>
        </is>
      </c>
      <c r="P67" s="4" t="inlineStr">
        <is>
          <t>1. No payment code or permission
2. Flag off hides entry row
3. Prices formatted for locale</t>
        </is>
      </c>
      <c r="Q67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67" s="4" t="inlineStr">
        <is>
          <t>Use tokens, string resources (EN+KN) and AppConfig only. UiState + StateFlow; UiText for messages; preview in EN/KN.</t>
        </is>
      </c>
      <c r="S67" s="4" t="inlineStr">
        <is>
          <t>UI test · Screenshot EN/KN</t>
        </is>
      </c>
      <c r="T67" s="4" t="inlineStr"/>
      <c r="U67" s="4" t="n">
        <v>3</v>
      </c>
      <c r="V67" s="4" t="inlineStr">
        <is>
          <t>Medium</t>
        </is>
      </c>
      <c r="W67" s="4" t="inlineStr">
        <is>
          <t>Low</t>
        </is>
      </c>
      <c r="X67" s="4" t="inlineStr">
        <is>
          <t>Jetpack Compose UI Engineer</t>
        </is>
      </c>
      <c r="Y67" s="4" t="inlineStr">
        <is>
          <t>Yes</t>
        </is>
      </c>
      <c r="Z67" s="4" t="inlineStr">
        <is>
          <t>Low</t>
        </is>
      </c>
      <c r="AA67" s="4" t="inlineStr">
        <is>
          <t>feature/LS-113-demo-subscription-feature-flagged-dialog</t>
        </is>
      </c>
      <c r="AB67" s="4" t="inlineStr"/>
      <c r="AC67" s="4" t="inlineStr"/>
      <c r="AD67" s="4" t="inlineStr">
        <is>
          <t>To Do</t>
        </is>
      </c>
      <c r="AE67" s="4" t="inlineStr">
        <is>
          <t>Project owner (human)</t>
        </is>
      </c>
      <c r="AF67" s="4" t="inlineStr">
        <is>
          <t>Awaiting Approval C</t>
        </is>
      </c>
      <c r="AG67" s="4" t="inlineStr"/>
      <c r="AH67" s="4" t="inlineStr">
        <is>
          <t>New strings</t>
        </is>
      </c>
      <c r="AI67" s="4" t="inlineStr">
        <is>
          <t>Missing</t>
        </is>
      </c>
      <c r="AJ67" s="4" t="inlineStr"/>
      <c r="AK67" s="4" t="inlineStr">
        <is>
          <t>FR-19, NFR-12</t>
        </is>
      </c>
      <c r="AL67" s="22">
        <f>AD67&amp;"|"&amp;COUNTIF(AD$2:AD67,AD67)</f>
        <v/>
      </c>
    </row>
    <row r="68" ht="85" customHeight="1">
      <c r="A68" s="17" t="inlineStr">
        <is>
          <t>LS-114</t>
        </is>
      </c>
      <c r="B68" s="4" t="inlineStr">
        <is>
          <t>Story</t>
        </is>
      </c>
      <c r="C68" s="4" t="inlineStr">
        <is>
          <t>LS-EPIC-10</t>
        </is>
      </c>
      <c r="D68" s="4" t="inlineStr">
        <is>
          <t>Privacy &amp; parent controls screen</t>
        </is>
      </c>
      <c r="E68" s="4" t="inlineStr">
        <is>
          <t>SCR-21 (design missing): explain local-only data, delete all local data action with confirmation.</t>
        </is>
      </c>
      <c r="F68" s="4" t="inlineStr">
        <is>
          <t>–</t>
        </is>
      </c>
      <c r="G68" s="4" t="inlineStr">
        <is>
          <t>Parent trust and control</t>
        </is>
      </c>
      <c r="H68" s="4" t="inlineStr">
        <is>
          <t>Medium</t>
        </is>
      </c>
      <c r="I68" s="4" t="inlineStr">
        <is>
          <t>Should</t>
        </is>
      </c>
      <c r="J68" s="4" t="inlineStr">
        <is>
          <t>P6</t>
        </is>
      </c>
      <c r="K68" s="4" t="inlineStr">
        <is>
          <t>:feature:settings</t>
        </is>
      </c>
      <c r="L68" s="5" t="inlineStr">
        <is>
          <t>SCR-21</t>
        </is>
      </c>
      <c r="M68" s="5" t="inlineStr">
        <is>
          <t>SCR-21 Privacy &amp; parent controls → no design (missing)</t>
        </is>
      </c>
      <c r="N68" s="4" t="inlineStr">
        <is>
          <t>LS-004, LS-110</t>
        </is>
      </c>
      <c r="O68" s="4" t="inlineStr">
        <is>
          <t>Blocks: LS-126
Blocked by: LS-004, LS-110</t>
        </is>
      </c>
      <c r="P68" s="4" t="inlineStr">
        <is>
          <t>1. Content approved by owner
2. Delete clears profiles, favourites, progress, downloads</t>
        </is>
      </c>
      <c r="Q68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68" s="4" t="inlineStr">
        <is>
          <t>Use tokens, string resources (EN+KN) and AppConfig only. UiState + StateFlow; UiText for messages; preview in EN/KN.</t>
        </is>
      </c>
      <c r="S68" s="4" t="inlineStr">
        <is>
          <t>UI test · Unit: data wipe</t>
        </is>
      </c>
      <c r="T68" s="4" t="inlineStr"/>
      <c r="U68" s="4" t="n">
        <v>3</v>
      </c>
      <c r="V68" s="4" t="inlineStr">
        <is>
          <t>Medium</t>
        </is>
      </c>
      <c r="W68" s="4" t="inlineStr">
        <is>
          <t>Low</t>
        </is>
      </c>
      <c r="X68" s="4" t="inlineStr">
        <is>
          <t>Android Security &amp; Privacy Reviewer</t>
        </is>
      </c>
      <c r="Y68" s="4" t="inlineStr">
        <is>
          <t>After deps</t>
        </is>
      </c>
      <c r="Z68" s="4" t="inlineStr">
        <is>
          <t>Low</t>
        </is>
      </c>
      <c r="AA68" s="4" t="inlineStr">
        <is>
          <t>feature/LS-114-privacy-parent-controls-screen</t>
        </is>
      </c>
      <c r="AB68" s="4" t="inlineStr"/>
      <c r="AC68" s="4" t="inlineStr"/>
      <c r="AD68" s="4" t="inlineStr">
        <is>
          <t>Blocked</t>
        </is>
      </c>
      <c r="AE68" s="4" t="inlineStr">
        <is>
          <t>Project owner (human)</t>
        </is>
      </c>
      <c r="AF68" s="4" t="inlineStr">
        <is>
          <t>Awaiting Approval C</t>
        </is>
      </c>
      <c r="AG68" s="4" t="inlineStr"/>
      <c r="AH68" s="4" t="inlineStr">
        <is>
          <t>New strings</t>
        </is>
      </c>
      <c r="AI68" s="4" t="inlineStr">
        <is>
          <t>Missing</t>
        </is>
      </c>
      <c r="AJ68" s="4" t="inlineStr">
        <is>
          <t>Blocked: design and content missing (LS-004).</t>
        </is>
      </c>
      <c r="AK68" s="4" t="inlineStr">
        <is>
          <t>FR-22, NFR-07</t>
        </is>
      </c>
      <c r="AL68" s="22">
        <f>AD68&amp;"|"&amp;COUNTIF(AD$2:AD68,AD68)</f>
        <v/>
      </c>
    </row>
    <row r="69" ht="85" customHeight="1">
      <c r="A69" s="17" t="inlineStr">
        <is>
          <t>LS-115</t>
        </is>
      </c>
      <c r="B69" s="4" t="inlineStr">
        <is>
          <t>Story</t>
        </is>
      </c>
      <c r="C69" s="4" t="inlineStr">
        <is>
          <t>LS-EPIC-10</t>
        </is>
      </c>
      <c r="D69" s="4" t="inlineStr">
        <is>
          <t>Help &amp; about screen</t>
        </is>
      </c>
      <c r="E69" s="4" t="inlineStr">
        <is>
          <t>SCR-22 (design missing): version from BuildConfig, font licences, help text.</t>
        </is>
      </c>
      <c r="F69" s="4" t="inlineStr">
        <is>
          <t>–</t>
        </is>
      </c>
      <c r="G69" s="4" t="inlineStr">
        <is>
          <t>Parent trust and control</t>
        </is>
      </c>
      <c r="H69" s="4" t="inlineStr">
        <is>
          <t>Low</t>
        </is>
      </c>
      <c r="I69" s="4" t="inlineStr">
        <is>
          <t>Could</t>
        </is>
      </c>
      <c r="J69" s="4" t="inlineStr">
        <is>
          <t>P6</t>
        </is>
      </c>
      <c r="K69" s="4" t="inlineStr">
        <is>
          <t>:feature:settings</t>
        </is>
      </c>
      <c r="L69" s="5" t="inlineStr">
        <is>
          <t>SCR-22</t>
        </is>
      </c>
      <c r="M69" s="5" t="inlineStr">
        <is>
          <t>SCR-22 Help &amp; about → no design (missing)</t>
        </is>
      </c>
      <c r="N69" s="4" t="inlineStr">
        <is>
          <t>LS-004, LS-110</t>
        </is>
      </c>
      <c r="O69" s="4" t="inlineStr">
        <is>
          <t>Blocks: LS-126
Blocked by: LS-004, LS-110</t>
        </is>
      </c>
      <c r="P69" s="4" t="inlineStr">
        <is>
          <t>1. Version shown from BuildConfig
2. Licences listed</t>
        </is>
      </c>
      <c r="Q69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69" s="4" t="inlineStr">
        <is>
          <t>Use tokens, string resources (EN+KN) and AppConfig only. UiState + StateFlow; UiText for messages; preview in EN/KN.</t>
        </is>
      </c>
      <c r="S69" s="4" t="inlineStr">
        <is>
          <t>UI test</t>
        </is>
      </c>
      <c r="T69" s="4" t="inlineStr"/>
      <c r="U69" s="4" t="n">
        <v>1</v>
      </c>
      <c r="V69" s="4" t="inlineStr">
        <is>
          <t>Low</t>
        </is>
      </c>
      <c r="W69" s="4" t="inlineStr">
        <is>
          <t>Low</t>
        </is>
      </c>
      <c r="X69" s="4" t="inlineStr">
        <is>
          <t>Jetpack Compose UI Engineer</t>
        </is>
      </c>
      <c r="Y69" s="4" t="inlineStr">
        <is>
          <t>After deps</t>
        </is>
      </c>
      <c r="Z69" s="4" t="inlineStr">
        <is>
          <t>Low</t>
        </is>
      </c>
      <c r="AA69" s="4" t="inlineStr">
        <is>
          <t>feature/LS-115-help-about-screen</t>
        </is>
      </c>
      <c r="AB69" s="4" t="inlineStr"/>
      <c r="AC69" s="4" t="inlineStr"/>
      <c r="AD69" s="4" t="inlineStr">
        <is>
          <t>Blocked</t>
        </is>
      </c>
      <c r="AE69" s="4" t="inlineStr">
        <is>
          <t>Project owner (human)</t>
        </is>
      </c>
      <c r="AF69" s="4" t="inlineStr">
        <is>
          <t>Awaiting Approval C</t>
        </is>
      </c>
      <c r="AG69" s="4" t="inlineStr"/>
      <c r="AH69" s="4" t="inlineStr">
        <is>
          <t>New strings</t>
        </is>
      </c>
      <c r="AI69" s="4" t="inlineStr">
        <is>
          <t>Missing</t>
        </is>
      </c>
      <c r="AJ69" s="4" t="inlineStr">
        <is>
          <t>Blocked: design missing (LS-004).</t>
        </is>
      </c>
      <c r="AK69" s="4" t="inlineStr">
        <is>
          <t>FR-23</t>
        </is>
      </c>
      <c r="AL69" s="22">
        <f>AD69&amp;"|"&amp;COUNTIF(AD$2:AD69,AD69)</f>
        <v/>
      </c>
    </row>
    <row r="70" ht="112" customHeight="1">
      <c r="A70" s="17" t="inlineStr">
        <is>
          <t>LS-120</t>
        </is>
      </c>
      <c r="B70" s="4" t="inlineStr">
        <is>
          <t>Task</t>
        </is>
      </c>
      <c r="C70" s="4" t="inlineStr">
        <is>
          <t>LS-EPIC-11</t>
        </is>
      </c>
      <c r="D70" s="4" t="inlineStr">
        <is>
          <t>Unit-test coverage gate for ViewModels &amp; use cases</t>
        </is>
      </c>
      <c r="E70" s="4" t="inlineStr">
        <is>
          <t>Ensure each ViewModel/use case has tests; report coverage; agree threshold.</t>
        </is>
      </c>
      <c r="F70" s="4" t="inlineStr">
        <is>
          <t>–</t>
        </is>
      </c>
      <c r="G70" s="4" t="inlineStr">
        <is>
          <t>Release confidence</t>
        </is>
      </c>
      <c r="H70" s="4" t="inlineStr">
        <is>
          <t>High</t>
        </is>
      </c>
      <c r="I70" s="4" t="inlineStr">
        <is>
          <t>Must</t>
        </is>
      </c>
      <c r="J70" s="4" t="inlineStr">
        <is>
          <t>P7</t>
        </is>
      </c>
      <c r="K70" s="4" t="inlineStr">
        <is>
          <t>All</t>
        </is>
      </c>
      <c r="L70" s="4" t="inlineStr">
        <is>
          <t>–</t>
        </is>
      </c>
      <c r="M70" s="4" t="inlineStr">
        <is>
          <t>–</t>
        </is>
      </c>
      <c r="N70" s="4" t="inlineStr">
        <is>
          <t>LS-070…LS-113</t>
        </is>
      </c>
      <c r="O70" s="4" t="inlineStr">
        <is>
          <t>Blocks: –
Blocked by: LS-070, LS-071, LS-072, LS-073, LS-074, LS-075, LS-080, LS-081, LS-082, LS-083, LS-084, LS-090, LS-091, LS-092, LS-093, LS-094, LS-100, LS-101, LS-110, LS-111, LS-112, LS-113</t>
        </is>
      </c>
      <c r="P70" s="4" t="inlineStr">
        <is>
          <t>1. Coverage report in CI
2. Agreed threshold met</t>
        </is>
      </c>
      <c r="Q70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70" s="4" t="inlineStr">
        <is>
          <t>Use tokens, string resources (EN+KN) and AppConfig only.</t>
        </is>
      </c>
      <c r="S70" s="4" t="inlineStr">
        <is>
          <t>Unit</t>
        </is>
      </c>
      <c r="T70" s="4" t="inlineStr"/>
      <c r="U70" s="4" t="n">
        <v>3</v>
      </c>
      <c r="V70" s="4" t="inlineStr">
        <is>
          <t>Medium</t>
        </is>
      </c>
      <c r="W70" s="4" t="inlineStr">
        <is>
          <t>Low</t>
        </is>
      </c>
      <c r="X70" s="4" t="inlineStr">
        <is>
          <t>Android Testing &amp; Automation Engineer</t>
        </is>
      </c>
      <c r="Y70" s="4" t="inlineStr">
        <is>
          <t>After deps</t>
        </is>
      </c>
      <c r="Z70" s="4" t="inlineStr">
        <is>
          <t>Low</t>
        </is>
      </c>
      <c r="AA70" s="4" t="inlineStr">
        <is>
          <t>feature/LS-120-unit-test-coverage-gate-for</t>
        </is>
      </c>
      <c r="AB70" s="4" t="inlineStr"/>
      <c r="AC70" s="4" t="inlineStr"/>
      <c r="AD70" s="4" t="inlineStr">
        <is>
          <t>To Do</t>
        </is>
      </c>
      <c r="AE70" s="4" t="inlineStr">
        <is>
          <t>Project owner (human)</t>
        </is>
      </c>
      <c r="AF70" s="4" t="inlineStr">
        <is>
          <t>Awaiting Approval C</t>
        </is>
      </c>
      <c r="AG70" s="4" t="inlineStr"/>
      <c r="AH70" s="4" t="inlineStr">
        <is>
          <t>None</t>
        </is>
      </c>
      <c r="AI70" s="4" t="inlineStr">
        <is>
          <t>N/A</t>
        </is>
      </c>
      <c r="AJ70" s="4" t="inlineStr"/>
      <c r="AK70" s="4" t="inlineStr">
        <is>
          <t>NFR-05</t>
        </is>
      </c>
      <c r="AL70" s="22">
        <f>AD70&amp;"|"&amp;COUNTIF(AD$2:AD70,AD70)</f>
        <v/>
      </c>
    </row>
    <row r="71" ht="125.5" customHeight="1">
      <c r="A71" s="17" t="inlineStr">
        <is>
          <t>LS-121</t>
        </is>
      </c>
      <c r="B71" s="4" t="inlineStr">
        <is>
          <t>Task</t>
        </is>
      </c>
      <c r="C71" s="4" t="inlineStr">
        <is>
          <t>LS-EPIC-11</t>
        </is>
      </c>
      <c r="D71" s="4" t="inlineStr">
        <is>
          <t>End-to-end journey tests A–G (EN &amp; KN)</t>
        </is>
      </c>
      <c r="E71" s="4" t="inlineStr">
        <is>
          <t>Automate journeys A (first run), B (discover &amp; read), C (create), D (revisit), E (parent controls), F (audio), G (change language).</t>
        </is>
      </c>
      <c r="F71" s="4" t="inlineStr">
        <is>
          <t>–</t>
        </is>
      </c>
      <c r="G71" s="4" t="inlineStr">
        <is>
          <t>Release confidence</t>
        </is>
      </c>
      <c r="H71" s="4" t="inlineStr">
        <is>
          <t>Highest</t>
        </is>
      </c>
      <c r="I71" s="4" t="inlineStr">
        <is>
          <t>Must</t>
        </is>
      </c>
      <c r="J71" s="4" t="inlineStr">
        <is>
          <t>P7</t>
        </is>
      </c>
      <c r="K71" s="4" t="inlineStr">
        <is>
          <t>All</t>
        </is>
      </c>
      <c r="L71" s="4" t="inlineStr">
        <is>
          <t>All</t>
        </is>
      </c>
      <c r="M71" s="5" t="inlineStr">
        <is>
          <t>Design pack – all screens (docs/design/screens/)</t>
        </is>
      </c>
      <c r="N71" s="4" t="inlineStr">
        <is>
          <t>LS-060…LS-113</t>
        </is>
      </c>
      <c r="O71" s="4" t="inlineStr">
        <is>
          <t>Blocks: LS-133
Blocked by: LS-060, LS-061, LS-062, LS-063, LS-070, LS-071, LS-072, LS-073, LS-074, LS-075, LS-080, LS-081, LS-082, LS-083, LS-084, LS-090, LS-091, LS-092, LS-093, LS-094, LS-100, LS-101, LS-110, LS-111, LS-112, LS-113</t>
        </is>
      </c>
      <c r="P71" s="4" t="inlineStr">
        <is>
          <t>1. All journeys pass in en and kn</t>
        </is>
      </c>
      <c r="Q71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71" s="4" t="inlineStr">
        <is>
          <t>Use tokens, string resources (EN+KN) and AppConfig only.</t>
        </is>
      </c>
      <c r="S71" s="4" t="inlineStr">
        <is>
          <t>Instrumented UI</t>
        </is>
      </c>
      <c r="T71" s="4" t="inlineStr"/>
      <c r="U71" s="4" t="n">
        <v>5</v>
      </c>
      <c r="V71" s="4" t="inlineStr">
        <is>
          <t>High</t>
        </is>
      </c>
      <c r="W71" s="4" t="inlineStr">
        <is>
          <t>Low</t>
        </is>
      </c>
      <c r="X71" s="4" t="inlineStr">
        <is>
          <t>Android Testing &amp; Automation Engineer</t>
        </is>
      </c>
      <c r="Y71" s="4" t="inlineStr">
        <is>
          <t>After deps</t>
        </is>
      </c>
      <c r="Z71" s="4" t="inlineStr">
        <is>
          <t>Low</t>
        </is>
      </c>
      <c r="AA71" s="4" t="inlineStr">
        <is>
          <t>feature/LS-121-end-to-end-journey-tests</t>
        </is>
      </c>
      <c r="AB71" s="4" t="inlineStr"/>
      <c r="AC71" s="4" t="inlineStr"/>
      <c r="AD71" s="4" t="inlineStr">
        <is>
          <t>To Do</t>
        </is>
      </c>
      <c r="AE71" s="4" t="inlineStr">
        <is>
          <t>Project owner (human)</t>
        </is>
      </c>
      <c r="AF71" s="4" t="inlineStr">
        <is>
          <t>Awaiting Approval C</t>
        </is>
      </c>
      <c r="AG71" s="4" t="inlineStr"/>
      <c r="AH71" s="4" t="inlineStr">
        <is>
          <t>None</t>
        </is>
      </c>
      <c r="AI71" s="4" t="inlineStr">
        <is>
          <t>N/A</t>
        </is>
      </c>
      <c r="AJ71" s="4" t="inlineStr"/>
      <c r="AK71" s="4" t="inlineStr">
        <is>
          <t>All Must FR</t>
        </is>
      </c>
      <c r="AL71" s="22">
        <f>AD71&amp;"|"&amp;COUNTIF(AD$2:AD71,AD71)</f>
        <v/>
      </c>
    </row>
    <row r="72" ht="139" customHeight="1">
      <c r="A72" s="17" t="inlineStr">
        <is>
          <t>LS-122</t>
        </is>
      </c>
      <c r="B72" s="4" t="inlineStr">
        <is>
          <t>Task</t>
        </is>
      </c>
      <c r="C72" s="4" t="inlineStr">
        <is>
          <t>LS-EPIC-11</t>
        </is>
      </c>
      <c r="D72" s="4" t="inlineStr">
        <is>
          <t>Screenshot regression suite – 22 design states × EN/KN</t>
        </is>
      </c>
      <c r="E72" s="4" t="inlineStr">
        <is>
          <t>Baselines for every captured design state in EN and KN (plus en-XA spot checks), compared against design pack.</t>
        </is>
      </c>
      <c r="F72" s="4" t="inlineStr">
        <is>
          <t>–</t>
        </is>
      </c>
      <c r="G72" s="4" t="inlineStr">
        <is>
          <t>Release confidence</t>
        </is>
      </c>
      <c r="H72" s="4" t="inlineStr">
        <is>
          <t>High</t>
        </is>
      </c>
      <c r="I72" s="4" t="inlineStr">
        <is>
          <t>Must</t>
        </is>
      </c>
      <c r="J72" s="4" t="inlineStr">
        <is>
          <t>P7</t>
        </is>
      </c>
      <c r="K72" s="4" t="inlineStr">
        <is>
          <t>All</t>
        </is>
      </c>
      <c r="L72" s="4" t="inlineStr">
        <is>
          <t>All</t>
        </is>
      </c>
      <c r="M72" s="5" t="inlineStr">
        <is>
          <t>Design pack – all screens (docs/design/screens/)</t>
        </is>
      </c>
      <c r="N72" s="4" t="inlineStr">
        <is>
          <t>LS-035, LS-060…LS-113</t>
        </is>
      </c>
      <c r="O72" s="4" t="inlineStr">
        <is>
          <t>Blocks: LS-047, LS-124, LS-133
Blocked by: LS-060, LS-061, LS-062, LS-063, LS-070, LS-071, LS-072, LS-073, LS-074, LS-075, LS-080, LS-081, LS-082, LS-083, LS-084, LS-090, LS-091, LS-092, LS-093, LS-094, LS-100, LS-101, LS-110, LS-111, LS-112, LS-113, LS-035</t>
        </is>
      </c>
      <c r="P72" s="4" t="inlineStr">
        <is>
          <t>1. Baselines reviewed by owner
2. Diffs fail CI</t>
        </is>
      </c>
      <c r="Q72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72" s="4" t="inlineStr">
        <is>
          <t>Use tokens, string resources (EN+KN) and AppConfig only.</t>
        </is>
      </c>
      <c r="S72" s="4" t="inlineStr">
        <is>
          <t>Screenshot</t>
        </is>
      </c>
      <c r="T72" s="4" t="inlineStr"/>
      <c r="U72" s="4" t="n">
        <v>5</v>
      </c>
      <c r="V72" s="4" t="inlineStr">
        <is>
          <t>High</t>
        </is>
      </c>
      <c r="W72" s="4" t="inlineStr">
        <is>
          <t>Low</t>
        </is>
      </c>
      <c r="X72" s="4" t="inlineStr">
        <is>
          <t>UI Integration &amp; Visual Regression Engineer</t>
        </is>
      </c>
      <c r="Y72" s="4" t="inlineStr">
        <is>
          <t>After deps</t>
        </is>
      </c>
      <c r="Z72" s="4" t="inlineStr">
        <is>
          <t>Low</t>
        </is>
      </c>
      <c r="AA72" s="4" t="inlineStr">
        <is>
          <t>feature/LS-122-screenshot-regression-suite-22-design</t>
        </is>
      </c>
      <c r="AB72" s="4" t="inlineStr"/>
      <c r="AC72" s="4" t="inlineStr"/>
      <c r="AD72" s="4" t="inlineStr">
        <is>
          <t>To Do</t>
        </is>
      </c>
      <c r="AE72" s="4" t="inlineStr">
        <is>
          <t>Project owner (human)</t>
        </is>
      </c>
      <c r="AF72" s="4" t="inlineStr">
        <is>
          <t>Awaiting Approval C</t>
        </is>
      </c>
      <c r="AG72" s="4" t="inlineStr"/>
      <c r="AH72" s="4" t="inlineStr">
        <is>
          <t>None</t>
        </is>
      </c>
      <c r="AI72" s="4" t="inlineStr">
        <is>
          <t>N/A</t>
        </is>
      </c>
      <c r="AJ72" s="4" t="inlineStr"/>
      <c r="AK72" s="4" t="inlineStr">
        <is>
          <t>NFR-10</t>
        </is>
      </c>
      <c r="AL72" s="22">
        <f>AD72&amp;"|"&amp;COUNTIF(AD$2:AD72,AD72)</f>
        <v/>
      </c>
    </row>
    <row r="73" ht="125.5" customHeight="1">
      <c r="A73" s="17" t="inlineStr">
        <is>
          <t>LS-123</t>
        </is>
      </c>
      <c r="B73" s="4" t="inlineStr">
        <is>
          <t>Task</t>
        </is>
      </c>
      <c r="C73" s="4" t="inlineStr">
        <is>
          <t>LS-EPIC-11</t>
        </is>
      </c>
      <c r="D73" s="4" t="inlineStr">
        <is>
          <t>Accessibility audit &amp; fixes</t>
        </is>
      </c>
      <c r="E73" s="4" t="inlineStr">
        <is>
          <t>Measure contrast (#716B80 at 10–12sp, #817B8D nav labels), 48dp targets (chips, 42dp icon buttons), selected-state semantics for chips/day picker, focus visibility, reduced motion, TalkBack in EN and KN.</t>
        </is>
      </c>
      <c r="F73" s="4" t="inlineStr">
        <is>
          <t>–</t>
        </is>
      </c>
      <c r="G73" s="4" t="inlineStr">
        <is>
          <t>Release confidence</t>
        </is>
      </c>
      <c r="H73" s="4" t="inlineStr">
        <is>
          <t>High</t>
        </is>
      </c>
      <c r="I73" s="4" t="inlineStr">
        <is>
          <t>Must</t>
        </is>
      </c>
      <c r="J73" s="4" t="inlineStr">
        <is>
          <t>P7</t>
        </is>
      </c>
      <c r="K73" s="4" t="inlineStr">
        <is>
          <t>All</t>
        </is>
      </c>
      <c r="L73" s="4" t="inlineStr">
        <is>
          <t>All</t>
        </is>
      </c>
      <c r="M73" s="5" t="inlineStr">
        <is>
          <t>Design pack – all screens (docs/design/screens/)</t>
        </is>
      </c>
      <c r="N73" s="4" t="inlineStr">
        <is>
          <t>LS-060…LS-113</t>
        </is>
      </c>
      <c r="O73" s="4" t="inlineStr">
        <is>
          <t>Blocks: LS-133
Blocked by: LS-060, LS-061, LS-062, LS-063, LS-070, LS-071, LS-072, LS-073, LS-074, LS-075, LS-080, LS-081, LS-082, LS-083, LS-084, LS-090, LS-091, LS-092, LS-093, LS-094, LS-100, LS-101, LS-110, LS-111, LS-112, LS-113</t>
        </is>
      </c>
      <c r="P73" s="4" t="inlineStr">
        <is>
          <t>1. All Must a11y issues fixed or accepted by owner
2. Report in docs/design/accessibility-spec.md</t>
        </is>
      </c>
      <c r="Q73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73" s="4" t="inlineStr">
        <is>
          <t>Use tokens, string resources (EN+KN) and AppConfig only.</t>
        </is>
      </c>
      <c r="S73" s="4" t="inlineStr">
        <is>
          <t>Accessibility Scanner · TalkBack manual</t>
        </is>
      </c>
      <c r="T73" s="4" t="inlineStr"/>
      <c r="U73" s="4" t="n">
        <v>5</v>
      </c>
      <c r="V73" s="4" t="inlineStr">
        <is>
          <t>High</t>
        </is>
      </c>
      <c r="W73" s="4" t="inlineStr">
        <is>
          <t>Medium</t>
        </is>
      </c>
      <c r="X73" s="4" t="inlineStr">
        <is>
          <t>Accessibility, Localization &amp; i18n Engineer</t>
        </is>
      </c>
      <c r="Y73" s="4" t="inlineStr">
        <is>
          <t>After deps</t>
        </is>
      </c>
      <c r="Z73" s="4" t="inlineStr">
        <is>
          <t>Low</t>
        </is>
      </c>
      <c r="AA73" s="4" t="inlineStr">
        <is>
          <t>feature/LS-123-accessibility-audit-fixes</t>
        </is>
      </c>
      <c r="AB73" s="4" t="inlineStr"/>
      <c r="AC73" s="4" t="inlineStr"/>
      <c r="AD73" s="4" t="inlineStr">
        <is>
          <t>To Do</t>
        </is>
      </c>
      <c r="AE73" s="4" t="inlineStr">
        <is>
          <t>Project owner (human)</t>
        </is>
      </c>
      <c r="AF73" s="4" t="inlineStr">
        <is>
          <t>Awaiting Approval C</t>
        </is>
      </c>
      <c r="AG73" s="4" t="inlineStr"/>
      <c r="AH73" s="4" t="inlineStr">
        <is>
          <t>None</t>
        </is>
      </c>
      <c r="AI73" s="4" t="inlineStr">
        <is>
          <t>N/A</t>
        </is>
      </c>
      <c r="AJ73" s="4" t="inlineStr"/>
      <c r="AK73" s="4" t="inlineStr">
        <is>
          <t>NFR-04</t>
        </is>
      </c>
      <c r="AL73" s="22">
        <f>AD73&amp;"|"&amp;COUNTIF(AD$2:AD73,AD73)</f>
        <v/>
      </c>
    </row>
    <row r="74" ht="85" customHeight="1">
      <c r="A74" s="17" t="inlineStr">
        <is>
          <t>LS-124</t>
        </is>
      </c>
      <c r="B74" s="4" t="inlineStr">
        <is>
          <t>Task</t>
        </is>
      </c>
      <c r="C74" s="4" t="inlineStr">
        <is>
          <t>LS-EPIC-11</t>
        </is>
      </c>
      <c r="D74" s="4" t="inlineStr">
        <is>
          <t>Visual fidelity review vs design pack</t>
        </is>
      </c>
      <c r="E74" s="4" t="inlineStr">
        <is>
          <t>Screen-by-screen comparison with severity and defect tickets.</t>
        </is>
      </c>
      <c r="F74" s="4" t="inlineStr">
        <is>
          <t>–</t>
        </is>
      </c>
      <c r="G74" s="4" t="inlineStr">
        <is>
          <t>Release confidence</t>
        </is>
      </c>
      <c r="H74" s="4" t="inlineStr">
        <is>
          <t>High</t>
        </is>
      </c>
      <c r="I74" s="4" t="inlineStr">
        <is>
          <t>Must</t>
        </is>
      </c>
      <c r="J74" s="4" t="inlineStr">
        <is>
          <t>P7</t>
        </is>
      </c>
      <c r="K74" s="4" t="inlineStr">
        <is>
          <t>All</t>
        </is>
      </c>
      <c r="L74" s="4" t="inlineStr">
        <is>
          <t>All</t>
        </is>
      </c>
      <c r="M74" s="5" t="inlineStr">
        <is>
          <t>Design pack – all screens (docs/design/screens/)</t>
        </is>
      </c>
      <c r="N74" s="4" t="inlineStr">
        <is>
          <t>LS-122</t>
        </is>
      </c>
      <c r="O74" s="4" t="inlineStr">
        <is>
          <t>Blocks: –
Blocked by: LS-122</t>
        </is>
      </c>
      <c r="P74" s="4" t="inlineStr">
        <is>
          <t>1. Report per screen
2. Blocker/High fixed</t>
        </is>
      </c>
      <c r="Q74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74" s="4" t="inlineStr">
        <is>
          <t>Use tokens, string resources (EN+KN) and AppConfig only.</t>
        </is>
      </c>
      <c r="S74" s="4" t="inlineStr">
        <is>
          <t>Manual + screenshot</t>
        </is>
      </c>
      <c r="T74" s="4" t="inlineStr"/>
      <c r="U74" s="4" t="n">
        <v>3</v>
      </c>
      <c r="V74" s="4" t="inlineStr">
        <is>
          <t>Medium</t>
        </is>
      </c>
      <c r="W74" s="4" t="inlineStr">
        <is>
          <t>Low</t>
        </is>
      </c>
      <c r="X74" s="4" t="inlineStr">
        <is>
          <t>UI Integration &amp; Visual Regression Engineer</t>
        </is>
      </c>
      <c r="Y74" s="4" t="inlineStr">
        <is>
          <t>After deps</t>
        </is>
      </c>
      <c r="Z74" s="4" t="inlineStr">
        <is>
          <t>Low</t>
        </is>
      </c>
      <c r="AA74" s="4" t="inlineStr">
        <is>
          <t>feature/LS-124-visual-fidelity-review-vs-design</t>
        </is>
      </c>
      <c r="AB74" s="4" t="inlineStr"/>
      <c r="AC74" s="4" t="inlineStr"/>
      <c r="AD74" s="4" t="inlineStr">
        <is>
          <t>To Do</t>
        </is>
      </c>
      <c r="AE74" s="4" t="inlineStr">
        <is>
          <t>Project owner (human)</t>
        </is>
      </c>
      <c r="AF74" s="4" t="inlineStr">
        <is>
          <t>Awaiting Approval C</t>
        </is>
      </c>
      <c r="AG74" s="4" t="inlineStr"/>
      <c r="AH74" s="4" t="inlineStr">
        <is>
          <t>None</t>
        </is>
      </c>
      <c r="AI74" s="4" t="inlineStr">
        <is>
          <t>N/A</t>
        </is>
      </c>
      <c r="AJ74" s="4" t="inlineStr"/>
      <c r="AK74" s="4" t="inlineStr">
        <is>
          <t>NFR-10</t>
        </is>
      </c>
      <c r="AL74" s="22">
        <f>AD74&amp;"|"&amp;COUNTIF(AD$2:AD74,AD74)</f>
        <v/>
      </c>
    </row>
    <row r="75" ht="125.5" customHeight="1">
      <c r="A75" s="17" t="inlineStr">
        <is>
          <t>LS-125</t>
        </is>
      </c>
      <c r="B75" s="4" t="inlineStr">
        <is>
          <t>Task</t>
        </is>
      </c>
      <c r="C75" s="4" t="inlineStr">
        <is>
          <t>LS-EPIC-15</t>
        </is>
      </c>
      <c r="D75" s="4" t="inlineStr">
        <is>
          <t>Maintainability review – hardcoded values audit</t>
        </is>
      </c>
      <c r="E75" s="4" t="inlineStr">
        <is>
          <t>Audit for hardcoded strings, colours, dims, routes, limits; duplication; config placement.</t>
        </is>
      </c>
      <c r="F75" s="4" t="inlineStr">
        <is>
          <t>–</t>
        </is>
      </c>
      <c r="G75" s="4" t="inlineStr">
        <is>
          <t>Cheap future changes</t>
        </is>
      </c>
      <c r="H75" s="4" t="inlineStr">
        <is>
          <t>High</t>
        </is>
      </c>
      <c r="I75" s="4" t="inlineStr">
        <is>
          <t>Must</t>
        </is>
      </c>
      <c r="J75" s="4" t="inlineStr">
        <is>
          <t>P7</t>
        </is>
      </c>
      <c r="K75" s="4" t="inlineStr">
        <is>
          <t>All</t>
        </is>
      </c>
      <c r="L75" s="4" t="inlineStr">
        <is>
          <t>–</t>
        </is>
      </c>
      <c r="M75" s="4" t="inlineStr">
        <is>
          <t>–</t>
        </is>
      </c>
      <c r="N75" s="4" t="inlineStr">
        <is>
          <t>LS-034, LS-060…LS-113</t>
        </is>
      </c>
      <c r="O75" s="4" t="inlineStr">
        <is>
          <t>Blocks: –
Blocked by: LS-060, LS-061, LS-062, LS-063, LS-070, LS-071, LS-072, LS-073, LS-074, LS-075, LS-080, LS-081, LS-082, LS-083, LS-084, LS-090, LS-091, LS-092, LS-093, LS-094, LS-100, LS-101, LS-110, LS-111, LS-112, LS-113, LS-034</t>
        </is>
      </c>
      <c r="P75" s="4" t="inlineStr">
        <is>
          <t>1. Zero hardcoded values in feature modules
2. Findings fixed</t>
        </is>
      </c>
      <c r="Q75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75" s="4" t="inlineStr">
        <is>
          <t>Use tokens, string resources (EN+KN) and AppConfig only.</t>
        </is>
      </c>
      <c r="S75" s="4" t="inlineStr">
        <is>
          <t>Static analysis report</t>
        </is>
      </c>
      <c r="T75" s="4" t="inlineStr"/>
      <c r="U75" s="4" t="n">
        <v>2</v>
      </c>
      <c r="V75" s="4" t="inlineStr">
        <is>
          <t>Low</t>
        </is>
      </c>
      <c r="W75" s="4" t="inlineStr">
        <is>
          <t>Low</t>
        </is>
      </c>
      <c r="X75" s="4" t="inlineStr">
        <is>
          <t>Code Quality &amp; Maintainability Reviewer</t>
        </is>
      </c>
      <c r="Y75" s="4" t="inlineStr">
        <is>
          <t>After deps</t>
        </is>
      </c>
      <c r="Z75" s="4" t="inlineStr">
        <is>
          <t>Low</t>
        </is>
      </c>
      <c r="AA75" s="4" t="inlineStr">
        <is>
          <t>feature/LS-125-maintainability-review-hardcoded-values-audit</t>
        </is>
      </c>
      <c r="AB75" s="4" t="inlineStr"/>
      <c r="AC75" s="4" t="inlineStr"/>
      <c r="AD75" s="4" t="inlineStr">
        <is>
          <t>To Do</t>
        </is>
      </c>
      <c r="AE75" s="4" t="inlineStr">
        <is>
          <t>Project owner (human)</t>
        </is>
      </c>
      <c r="AF75" s="4" t="inlineStr">
        <is>
          <t>Awaiting Approval C</t>
        </is>
      </c>
      <c r="AG75" s="4" t="inlineStr"/>
      <c r="AH75" s="4" t="inlineStr">
        <is>
          <t>None</t>
        </is>
      </c>
      <c r="AI75" s="4" t="inlineStr">
        <is>
          <t>N/A</t>
        </is>
      </c>
      <c r="AJ75" s="4" t="inlineStr"/>
      <c r="AK75" s="4" t="inlineStr">
        <is>
          <t>NFR-01</t>
        </is>
      </c>
      <c r="AL75" s="22">
        <f>AD75&amp;"|"&amp;COUNTIF(AD$2:AD75,AD75)</f>
        <v/>
      </c>
    </row>
    <row r="76" ht="125.5" customHeight="1">
      <c r="A76" s="17" t="inlineStr">
        <is>
          <t>LS-126</t>
        </is>
      </c>
      <c r="B76" s="4" t="inlineStr">
        <is>
          <t>Task</t>
        </is>
      </c>
      <c r="C76" s="4" t="inlineStr">
        <is>
          <t>LS-EPIC-11</t>
        </is>
      </c>
      <c r="D76" s="4" t="inlineStr">
        <is>
          <t>Security &amp; privacy review + threat model</t>
        </is>
      </c>
      <c r="E76" s="4" t="inlineStr">
        <is>
          <t>docs/security/*: no network/analytics, no secrets, no child data in logs, backup rules, permissions minimal.</t>
        </is>
      </c>
      <c r="F76" s="4" t="inlineStr">
        <is>
          <t>–</t>
        </is>
      </c>
      <c r="G76" s="4" t="inlineStr">
        <is>
          <t>Release confidence</t>
        </is>
      </c>
      <c r="H76" s="4" t="inlineStr">
        <is>
          <t>High</t>
        </is>
      </c>
      <c r="I76" s="4" t="inlineStr">
        <is>
          <t>Must</t>
        </is>
      </c>
      <c r="J76" s="4" t="inlineStr">
        <is>
          <t>P7</t>
        </is>
      </c>
      <c r="K76" s="4" t="inlineStr">
        <is>
          <t>All</t>
        </is>
      </c>
      <c r="L76" s="4" t="inlineStr">
        <is>
          <t>–</t>
        </is>
      </c>
      <c r="M76" s="4" t="inlineStr">
        <is>
          <t>–</t>
        </is>
      </c>
      <c r="N76" s="4" t="inlineStr">
        <is>
          <t>LS-060…LS-115</t>
        </is>
      </c>
      <c r="O76" s="4" t="inlineStr">
        <is>
          <t>Blocks: LS-133
Blocked by: LS-060, LS-061, LS-062, LS-063, LS-070, LS-071, LS-072, LS-073, LS-074, LS-075, LS-080, LS-081, LS-082, LS-083, LS-084, LS-090, LS-091, LS-092, LS-093, LS-094, LS-100, LS-101, LS-110, LS-111, LS-112, LS-113, LS-114, LS-115</t>
        </is>
      </c>
      <c r="P76" s="4" t="inlineStr">
        <is>
          <t>1. Threat model and checklist complete
2. Findings resolved</t>
        </is>
      </c>
      <c r="Q76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76" s="4" t="inlineStr">
        <is>
          <t>Use tokens, string resources (EN+KN) and AppConfig only.</t>
        </is>
      </c>
      <c r="S76" s="4" t="inlineStr">
        <is>
          <t>Manual review · lint security checks</t>
        </is>
      </c>
      <c r="T76" s="4" t="inlineStr"/>
      <c r="U76" s="4" t="n">
        <v>3</v>
      </c>
      <c r="V76" s="4" t="inlineStr">
        <is>
          <t>Medium</t>
        </is>
      </c>
      <c r="W76" s="4" t="inlineStr">
        <is>
          <t>Low</t>
        </is>
      </c>
      <c r="X76" s="4" t="inlineStr">
        <is>
          <t>Android Security &amp; Privacy Reviewer</t>
        </is>
      </c>
      <c r="Y76" s="4" t="inlineStr">
        <is>
          <t>After deps</t>
        </is>
      </c>
      <c r="Z76" s="4" t="inlineStr">
        <is>
          <t>Low</t>
        </is>
      </c>
      <c r="AA76" s="4" t="inlineStr">
        <is>
          <t>feature/LS-126-security-privacy-review-threat-model</t>
        </is>
      </c>
      <c r="AB76" s="4" t="inlineStr"/>
      <c r="AC76" s="4" t="inlineStr"/>
      <c r="AD76" s="4" t="inlineStr">
        <is>
          <t>To Do</t>
        </is>
      </c>
      <c r="AE76" s="4" t="inlineStr">
        <is>
          <t>Project owner (human)</t>
        </is>
      </c>
      <c r="AF76" s="4" t="inlineStr">
        <is>
          <t>Awaiting Approval C</t>
        </is>
      </c>
      <c r="AG76" s="4" t="inlineStr"/>
      <c r="AH76" s="4" t="inlineStr">
        <is>
          <t>None</t>
        </is>
      </c>
      <c r="AI76" s="4" t="inlineStr">
        <is>
          <t>N/A</t>
        </is>
      </c>
      <c r="AJ76" s="4" t="inlineStr"/>
      <c r="AK76" s="4" t="inlineStr">
        <is>
          <t>NFR-07</t>
        </is>
      </c>
      <c r="AL76" s="22">
        <f>AD76&amp;"|"&amp;COUNTIF(AD$2:AD76,AD76)</f>
        <v/>
      </c>
    </row>
    <row r="77" ht="85" customHeight="1">
      <c r="A77" s="17" t="inlineStr">
        <is>
          <t>LS-130</t>
        </is>
      </c>
      <c r="B77" s="4" t="inlineStr">
        <is>
          <t>Task</t>
        </is>
      </c>
      <c r="C77" s="4" t="inlineStr">
        <is>
          <t>LS-EPIC-12</t>
        </is>
      </c>
      <c r="D77" s="4" t="inlineStr">
        <is>
          <t>GitHub Actions PR workflow</t>
        </is>
      </c>
      <c r="E77" s="4" t="inlineStr">
        <is>
          <t>Build, unit tests, lint, translation completeness, screenshot verify on PRs to development.</t>
        </is>
      </c>
      <c r="F77" s="4" t="inlineStr">
        <is>
          <t>–</t>
        </is>
      </c>
      <c r="G77" s="4" t="inlineStr">
        <is>
          <t>Repeatable delivery</t>
        </is>
      </c>
      <c r="H77" s="4" t="inlineStr">
        <is>
          <t>High</t>
        </is>
      </c>
      <c r="I77" s="4" t="inlineStr">
        <is>
          <t>Must</t>
        </is>
      </c>
      <c r="J77" s="4" t="inlineStr">
        <is>
          <t>P2</t>
        </is>
      </c>
      <c r="K77" s="4" t="inlineStr">
        <is>
          <t>.github/workflows</t>
        </is>
      </c>
      <c r="L77" s="4" t="inlineStr">
        <is>
          <t>–</t>
        </is>
      </c>
      <c r="M77" s="4" t="inlineStr">
        <is>
          <t>–</t>
        </is>
      </c>
      <c r="N77" s="4" t="inlineStr">
        <is>
          <t>LS-030, LS-034, LS-041</t>
        </is>
      </c>
      <c r="O77" s="4" t="inlineStr">
        <is>
          <t>Blocks: –
Blocked by: LS-030, LS-034, LS-041</t>
        </is>
      </c>
      <c r="P77" s="4" t="inlineStr">
        <is>
          <t>1. Required checks run on every PR
2. No secrets in workflow</t>
        </is>
      </c>
      <c r="Q77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77" s="4" t="inlineStr">
        <is>
          <t>Shared files: .github/workflows/ci.yml Use tokens, string resources (EN+KN) and AppConfig only.</t>
        </is>
      </c>
      <c r="S77" s="4" t="inlineStr">
        <is>
          <t>CI run</t>
        </is>
      </c>
      <c r="T77" s="4" t="inlineStr"/>
      <c r="U77" s="4" t="n">
        <v>3</v>
      </c>
      <c r="V77" s="4" t="inlineStr">
        <is>
          <t>Medium</t>
        </is>
      </c>
      <c r="W77" s="4" t="inlineStr">
        <is>
          <t>Low</t>
        </is>
      </c>
      <c r="X77" s="4" t="inlineStr">
        <is>
          <t>Build, Gradle &amp; CI/CD Engineer</t>
        </is>
      </c>
      <c r="Y77" s="4" t="inlineStr">
        <is>
          <t>After deps</t>
        </is>
      </c>
      <c r="Z77" s="4" t="inlineStr">
        <is>
          <t>Medium</t>
        </is>
      </c>
      <c r="AA77" s="4" t="inlineStr">
        <is>
          <t>feature/LS-130-github-actions-pr-workflow</t>
        </is>
      </c>
      <c r="AB77" s="4" t="inlineStr"/>
      <c r="AC77" s="4" t="inlineStr"/>
      <c r="AD77" s="4" t="inlineStr">
        <is>
          <t>To Do</t>
        </is>
      </c>
      <c r="AE77" s="4" t="inlineStr">
        <is>
          <t>Project owner (human)</t>
        </is>
      </c>
      <c r="AF77" s="4" t="inlineStr">
        <is>
          <t>Awaiting Approval C</t>
        </is>
      </c>
      <c r="AG77" s="4" t="inlineStr"/>
      <c r="AH77" s="4" t="inlineStr">
        <is>
          <t>None</t>
        </is>
      </c>
      <c r="AI77" s="4" t="inlineStr">
        <is>
          <t>N/A</t>
        </is>
      </c>
      <c r="AJ77" s="4" t="inlineStr"/>
      <c r="AK77" s="4" t="inlineStr"/>
      <c r="AL77" s="22">
        <f>AD77&amp;"|"&amp;COUNTIF(AD$2:AD77,AD77)</f>
        <v/>
      </c>
    </row>
    <row r="78" ht="85" customHeight="1">
      <c r="A78" s="17" t="inlineStr">
        <is>
          <t>LS-131</t>
        </is>
      </c>
      <c r="B78" s="4" t="inlineStr">
        <is>
          <t>Task</t>
        </is>
      </c>
      <c r="C78" s="4" t="inlineStr">
        <is>
          <t>LS-EPIC-12</t>
        </is>
      </c>
      <c r="D78" s="4" t="inlineStr">
        <is>
          <t>Branch strategy, PR template, CODEOWNERS</t>
        </is>
      </c>
      <c r="E78" s="4" t="inlineStr">
        <is>
          <t>Create development branch, PR template (ticket, AC, EN/KN screenshots, tests), CODEOWNERS; owner sets protections (Approval D).</t>
        </is>
      </c>
      <c r="F78" s="4" t="inlineStr">
        <is>
          <t>–</t>
        </is>
      </c>
      <c r="G78" s="4" t="inlineStr">
        <is>
          <t>Repeatable delivery</t>
        </is>
      </c>
      <c r="H78" s="4" t="inlineStr">
        <is>
          <t>High</t>
        </is>
      </c>
      <c r="I78" s="4" t="inlineStr">
        <is>
          <t>Must</t>
        </is>
      </c>
      <c r="J78" s="4" t="inlineStr">
        <is>
          <t>P1</t>
        </is>
      </c>
      <c r="K78" s="4" t="inlineStr">
        <is>
          <t>.github</t>
        </is>
      </c>
      <c r="L78" s="4" t="inlineStr">
        <is>
          <t>–</t>
        </is>
      </c>
      <c r="M78" s="4" t="inlineStr">
        <is>
          <t>–</t>
        </is>
      </c>
      <c r="N78" s="4" t="inlineStr">
        <is>
          <t>LS-001</t>
        </is>
      </c>
      <c r="O78" s="4" t="inlineStr">
        <is>
          <t>Blocks: –
Blocked by: LS-001</t>
        </is>
      </c>
      <c r="P78" s="4" t="inlineStr">
        <is>
          <t>1. development branch exists
2. PR template used</t>
        </is>
      </c>
      <c r="Q78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78" s="4" t="inlineStr">
        <is>
          <t>Use tokens, string resources (EN+KN) and AppConfig only.</t>
        </is>
      </c>
      <c r="S78" s="4" t="inlineStr">
        <is>
          <t>Open test PR</t>
        </is>
      </c>
      <c r="T78" s="4" t="inlineStr"/>
      <c r="U78" s="4" t="n">
        <v>1</v>
      </c>
      <c r="V78" s="4" t="inlineStr">
        <is>
          <t>Low</t>
        </is>
      </c>
      <c r="W78" s="4" t="inlineStr">
        <is>
          <t>Low</t>
        </is>
      </c>
      <c r="X78" s="4" t="inlineStr">
        <is>
          <t>Release &amp; Deployment Coordinator</t>
        </is>
      </c>
      <c r="Y78" s="4" t="inlineStr">
        <is>
          <t>Yes</t>
        </is>
      </c>
      <c r="Z78" s="4" t="inlineStr">
        <is>
          <t>Low</t>
        </is>
      </c>
      <c r="AA78" s="4" t="inlineStr">
        <is>
          <t>claude/project-thread-veobz7</t>
        </is>
      </c>
      <c r="AB78" s="4" t="inlineStr"/>
      <c r="AC78" s="4" t="inlineStr"/>
      <c r="AD78" s="4" t="inlineStr">
        <is>
          <t>In Review</t>
        </is>
      </c>
      <c r="AE78" s="4" t="inlineStr">
        <is>
          <t>Project owner (human)</t>
        </is>
      </c>
      <c r="AF78" s="4" t="inlineStr">
        <is>
          <t>Approval B granted — awaiting owner review of docs PR</t>
        </is>
      </c>
      <c r="AG78" s="4" t="inlineStr">
        <is>
          <t>Drafted 29 Oct 2026: .github/pull_request_template.md, .github/CODEOWNERS (development branch awaits owner, D2)</t>
        </is>
      </c>
      <c r="AH78" s="4" t="inlineStr">
        <is>
          <t>None</t>
        </is>
      </c>
      <c r="AI78" s="4" t="inlineStr">
        <is>
          <t>N/A</t>
        </is>
      </c>
      <c r="AJ78" s="4" t="inlineStr"/>
      <c r="AK78" s="4" t="inlineStr"/>
      <c r="AL78" s="22">
        <f>AD78&amp;"|"&amp;COUNTIF(AD$2:AD78,AD78)</f>
        <v/>
      </c>
    </row>
    <row r="79" ht="85" customHeight="1">
      <c r="A79" s="17" t="inlineStr">
        <is>
          <t>LS-132</t>
        </is>
      </c>
      <c r="B79" s="4" t="inlineStr">
        <is>
          <t>Task</t>
        </is>
      </c>
      <c r="C79" s="4" t="inlineStr">
        <is>
          <t>LS-EPIC-12</t>
        </is>
      </c>
      <c r="D79" s="4" t="inlineStr">
        <is>
          <t>Build &amp; run docs (Windows + macOS), release checklist, known limitations</t>
        </is>
      </c>
      <c r="E79" s="4" t="inlineStr">
        <is>
          <t>docs/release/*.</t>
        </is>
      </c>
      <c r="F79" s="4" t="inlineStr">
        <is>
          <t>–</t>
        </is>
      </c>
      <c r="G79" s="4" t="inlineStr">
        <is>
          <t>Repeatable delivery</t>
        </is>
      </c>
      <c r="H79" s="4" t="inlineStr">
        <is>
          <t>Medium</t>
        </is>
      </c>
      <c r="I79" s="4" t="inlineStr">
        <is>
          <t>Must</t>
        </is>
      </c>
      <c r="J79" s="4" t="inlineStr">
        <is>
          <t>P8</t>
        </is>
      </c>
      <c r="K79" s="4" t="inlineStr">
        <is>
          <t>Docs</t>
        </is>
      </c>
      <c r="L79" s="4" t="inlineStr">
        <is>
          <t>–</t>
        </is>
      </c>
      <c r="M79" s="4" t="inlineStr">
        <is>
          <t>–</t>
        </is>
      </c>
      <c r="N79" s="4" t="inlineStr">
        <is>
          <t>LS-030</t>
        </is>
      </c>
      <c r="O79" s="4" t="inlineStr">
        <is>
          <t>Blocks: –
Blocked by: LS-030</t>
        </is>
      </c>
      <c r="P79" s="4" t="inlineStr">
        <is>
          <t>1. A new developer builds on Windows and macOS following the doc</t>
        </is>
      </c>
      <c r="Q79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79" s="4" t="inlineStr">
        <is>
          <t>Use tokens, string resources (EN+KN) and AppConfig only.</t>
        </is>
      </c>
      <c r="S79" s="4" t="inlineStr">
        <is>
          <t>Doc walkthrough</t>
        </is>
      </c>
      <c r="T79" s="4" t="inlineStr"/>
      <c r="U79" s="4" t="n">
        <v>2</v>
      </c>
      <c r="V79" s="4" t="inlineStr">
        <is>
          <t>Low</t>
        </is>
      </c>
      <c r="W79" s="4" t="inlineStr">
        <is>
          <t>Low</t>
        </is>
      </c>
      <c r="X79" s="4" t="inlineStr">
        <is>
          <t>Release &amp; Deployment Coordinator</t>
        </is>
      </c>
      <c r="Y79" s="4" t="inlineStr">
        <is>
          <t>Yes</t>
        </is>
      </c>
      <c r="Z79" s="4" t="inlineStr">
        <is>
          <t>Low</t>
        </is>
      </c>
      <c r="AA79" s="4" t="inlineStr">
        <is>
          <t>feature/LS-132-build-run-docs-windows-macos</t>
        </is>
      </c>
      <c r="AB79" s="4" t="inlineStr"/>
      <c r="AC79" s="4" t="inlineStr"/>
      <c r="AD79" s="4" t="inlineStr">
        <is>
          <t>To Do</t>
        </is>
      </c>
      <c r="AE79" s="4" t="inlineStr">
        <is>
          <t>Project owner (human)</t>
        </is>
      </c>
      <c r="AF79" s="4" t="inlineStr">
        <is>
          <t>Awaiting Approval B</t>
        </is>
      </c>
      <c r="AG79" s="4" t="inlineStr"/>
      <c r="AH79" s="4" t="inlineStr">
        <is>
          <t>None</t>
        </is>
      </c>
      <c r="AI79" s="4" t="inlineStr">
        <is>
          <t>N/A</t>
        </is>
      </c>
      <c r="AJ79" s="4" t="inlineStr"/>
      <c r="AK79" s="4" t="inlineStr">
        <is>
          <t>NFR-09</t>
        </is>
      </c>
      <c r="AL79" s="22">
        <f>AD79&amp;"|"&amp;COUNTIF(AD$2:AD79,AD79)</f>
        <v/>
      </c>
    </row>
    <row r="80" ht="85" customHeight="1">
      <c r="A80" s="17" t="inlineStr">
        <is>
          <t>LS-133</t>
        </is>
      </c>
      <c r="B80" s="4" t="inlineStr">
        <is>
          <t>Task</t>
        </is>
      </c>
      <c r="C80" s="4" t="inlineStr">
        <is>
          <t>LS-EPIC-12</t>
        </is>
      </c>
      <c r="D80" s="4" t="inlineStr">
        <is>
          <t>Release-readiness report</t>
        </is>
      </c>
      <c r="E80" s="4" t="inlineStr">
        <is>
          <t>Final report per master prompt §29.</t>
        </is>
      </c>
      <c r="F80" s="4" t="inlineStr">
        <is>
          <t>–</t>
        </is>
      </c>
      <c r="G80" s="4" t="inlineStr">
        <is>
          <t>Repeatable delivery</t>
        </is>
      </c>
      <c r="H80" s="4" t="inlineStr">
        <is>
          <t>Medium</t>
        </is>
      </c>
      <c r="I80" s="4" t="inlineStr">
        <is>
          <t>Must</t>
        </is>
      </c>
      <c r="J80" s="4" t="inlineStr">
        <is>
          <t>P8</t>
        </is>
      </c>
      <c r="K80" s="4" t="inlineStr">
        <is>
          <t>Docs</t>
        </is>
      </c>
      <c r="L80" s="4" t="inlineStr">
        <is>
          <t>–</t>
        </is>
      </c>
      <c r="M80" s="4" t="inlineStr">
        <is>
          <t>–</t>
        </is>
      </c>
      <c r="N80" s="4" t="inlineStr">
        <is>
          <t>LS-121, LS-122, LS-123, LS-126, LS-047</t>
        </is>
      </c>
      <c r="O80" s="4" t="inlineStr">
        <is>
          <t>Blocks: –
Blocked by: LS-121, LS-122, LS-123, LS-126, LS-047</t>
        </is>
      </c>
      <c r="P80" s="4" t="inlineStr">
        <is>
          <t>1. Verified vs assumed separated
2. Owner decision on release</t>
        </is>
      </c>
      <c r="Q80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80" s="4" t="inlineStr">
        <is>
          <t>Use tokens, string resources (EN+KN) and AppConfig only.</t>
        </is>
      </c>
      <c r="S80" s="4" t="inlineStr">
        <is>
          <t>Review</t>
        </is>
      </c>
      <c r="T80" s="4" t="inlineStr"/>
      <c r="U80" s="4" t="n">
        <v>2</v>
      </c>
      <c r="V80" s="4" t="inlineStr">
        <is>
          <t>Low</t>
        </is>
      </c>
      <c r="W80" s="4" t="inlineStr">
        <is>
          <t>Low</t>
        </is>
      </c>
      <c r="X80" s="4" t="inlineStr">
        <is>
          <t>Release &amp; Deployment Coordinator</t>
        </is>
      </c>
      <c r="Y80" s="4" t="inlineStr">
        <is>
          <t>After deps</t>
        </is>
      </c>
      <c r="Z80" s="4" t="inlineStr">
        <is>
          <t>Low</t>
        </is>
      </c>
      <c r="AA80" s="4" t="inlineStr">
        <is>
          <t>feature/LS-133-release-readiness-report</t>
        </is>
      </c>
      <c r="AB80" s="4" t="inlineStr"/>
      <c r="AC80" s="4" t="inlineStr"/>
      <c r="AD80" s="4" t="inlineStr">
        <is>
          <t>To Do</t>
        </is>
      </c>
      <c r="AE80" s="4" t="inlineStr">
        <is>
          <t>Project owner (human)</t>
        </is>
      </c>
      <c r="AF80" s="4" t="inlineStr">
        <is>
          <t>Awaiting Approval B</t>
        </is>
      </c>
      <c r="AG80" s="4" t="inlineStr"/>
      <c r="AH80" s="4" t="inlineStr">
        <is>
          <t>None</t>
        </is>
      </c>
      <c r="AI80" s="4" t="inlineStr">
        <is>
          <t>N/A</t>
        </is>
      </c>
      <c r="AJ80" s="4" t="inlineStr"/>
      <c r="AK80" s="4" t="inlineStr"/>
      <c r="AL80" s="22">
        <f>AD80&amp;"|"&amp;COUNTIF(AD$2:AD80,AD80)</f>
        <v/>
      </c>
    </row>
    <row r="81" ht="85" customHeight="1">
      <c r="A81" s="17" t="inlineStr">
        <is>
          <t>LS-140</t>
        </is>
      </c>
      <c r="B81" s="4" t="inlineStr">
        <is>
          <t>Task</t>
        </is>
      </c>
      <c r="C81" s="4" t="inlineStr">
        <is>
          <t>LS-EPIC-13</t>
        </is>
      </c>
      <c r="D81" s="4" t="inlineStr">
        <is>
          <t>Proposed future API contracts (incl. language negotiation)</t>
        </is>
      </c>
      <c r="E81" s="4" t="inlineStr">
        <is>
          <t>docs/api/future-api-contracts.md marked PROPOSED – NOT IMPLEMENTED; locale parameter / Accept-Language and fallback.</t>
        </is>
      </c>
      <c r="F81" s="4" t="inlineStr">
        <is>
          <t>–</t>
        </is>
      </c>
      <c r="G81" s="4" t="inlineStr">
        <is>
          <t>Future-proofing</t>
        </is>
      </c>
      <c r="H81" s="4" t="inlineStr">
        <is>
          <t>Low</t>
        </is>
      </c>
      <c r="I81" s="4" t="inlineStr">
        <is>
          <t>Should</t>
        </is>
      </c>
      <c r="J81" s="4" t="inlineStr">
        <is>
          <t>P8</t>
        </is>
      </c>
      <c r="K81" s="4" t="inlineStr">
        <is>
          <t>Docs</t>
        </is>
      </c>
      <c r="L81" s="4" t="inlineStr">
        <is>
          <t>–</t>
        </is>
      </c>
      <c r="M81" s="4" t="inlineStr">
        <is>
          <t>–</t>
        </is>
      </c>
      <c r="N81" s="4" t="inlineStr">
        <is>
          <t>LS-037</t>
        </is>
      </c>
      <c r="O81" s="4" t="inlineStr">
        <is>
          <t>Blocks: –
Blocked by: LS-037</t>
        </is>
      </c>
      <c r="P81" s="4" t="inlineStr">
        <is>
          <t>1. Endpoints, errors, pagination, auth, versioning documented</t>
        </is>
      </c>
      <c r="Q81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81" s="4" t="inlineStr">
        <is>
          <t>Use tokens, string resources (EN+KN) and AppConfig only.</t>
        </is>
      </c>
      <c r="S81" s="4" t="inlineStr">
        <is>
          <t>Review</t>
        </is>
      </c>
      <c r="T81" s="4" t="inlineStr"/>
      <c r="U81" s="4" t="n">
        <v>3</v>
      </c>
      <c r="V81" s="4" t="inlineStr">
        <is>
          <t>Medium</t>
        </is>
      </c>
      <c r="W81" s="4" t="inlineStr">
        <is>
          <t>Low</t>
        </is>
      </c>
      <c r="X81" s="4" t="inlineStr">
        <is>
          <t>API &amp; Backend Integration Architect</t>
        </is>
      </c>
      <c r="Y81" s="4" t="inlineStr">
        <is>
          <t>Yes</t>
        </is>
      </c>
      <c r="Z81" s="4" t="inlineStr">
        <is>
          <t>Low</t>
        </is>
      </c>
      <c r="AA81" s="4" t="inlineStr">
        <is>
          <t>feature/LS-140-proposed-future-api-contracts-incl</t>
        </is>
      </c>
      <c r="AB81" s="4" t="inlineStr"/>
      <c r="AC81" s="4" t="inlineStr"/>
      <c r="AD81" s="4" t="inlineStr">
        <is>
          <t>To Do</t>
        </is>
      </c>
      <c r="AE81" s="4" t="inlineStr">
        <is>
          <t>Project owner (human)</t>
        </is>
      </c>
      <c r="AF81" s="4" t="inlineStr">
        <is>
          <t>Awaiting Approval B</t>
        </is>
      </c>
      <c r="AG81" s="4" t="inlineStr"/>
      <c r="AH81" s="4" t="inlineStr">
        <is>
          <t>None</t>
        </is>
      </c>
      <c r="AI81" s="4" t="inlineStr">
        <is>
          <t>N/A</t>
        </is>
      </c>
      <c r="AJ81" s="4" t="inlineStr"/>
      <c r="AK81" s="4" t="inlineStr"/>
      <c r="AL81" s="22">
        <f>AD81&amp;"|"&amp;COUNTIF(AD$2:AD81,AD81)</f>
        <v/>
      </c>
    </row>
    <row r="82" ht="85" customHeight="1">
      <c r="A82" s="17" t="inlineStr">
        <is>
          <t>LS-141</t>
        </is>
      </c>
      <c r="B82" s="4" t="inlineStr">
        <is>
          <t>Task</t>
        </is>
      </c>
      <c r="C82" s="4" t="inlineStr">
        <is>
          <t>LS-EPIC-13</t>
        </is>
      </c>
      <c r="D82" s="4" t="inlineStr">
        <is>
          <t>AI generation flow &amp; multilingual child-safety plan</t>
        </is>
      </c>
      <c r="E82" s="4" t="inlineStr">
        <is>
          <t>docs/api/ai-generation-flow.md: job-based flow, moderation in EN and KN, rate limits, retention, consent.</t>
        </is>
      </c>
      <c r="F82" s="4" t="inlineStr">
        <is>
          <t>–</t>
        </is>
      </c>
      <c r="G82" s="4" t="inlineStr">
        <is>
          <t>Future-proofing</t>
        </is>
      </c>
      <c r="H82" s="4" t="inlineStr">
        <is>
          <t>Low</t>
        </is>
      </c>
      <c r="I82" s="4" t="inlineStr">
        <is>
          <t>Should</t>
        </is>
      </c>
      <c r="J82" s="4" t="inlineStr">
        <is>
          <t>P8</t>
        </is>
      </c>
      <c r="K82" s="4" t="inlineStr">
        <is>
          <t>Docs</t>
        </is>
      </c>
      <c r="L82" s="4" t="inlineStr">
        <is>
          <t>–</t>
        </is>
      </c>
      <c r="M82" s="4" t="inlineStr">
        <is>
          <t>–</t>
        </is>
      </c>
      <c r="N82" s="4" t="inlineStr">
        <is>
          <t>LS-082</t>
        </is>
      </c>
      <c r="O82" s="4" t="inlineStr">
        <is>
          <t>Blocks: –
Blocked by: LS-082</t>
        </is>
      </c>
      <c r="P82" s="4" t="inlineStr">
        <is>
          <t>1. Safety controls defined per language</t>
        </is>
      </c>
      <c r="Q82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82" s="4" t="inlineStr">
        <is>
          <t>Use tokens, string resources (EN+KN) and AppConfig only.</t>
        </is>
      </c>
      <c r="S82" s="4" t="inlineStr">
        <is>
          <t>Review</t>
        </is>
      </c>
      <c r="T82" s="4" t="inlineStr"/>
      <c r="U82" s="4" t="n">
        <v>3</v>
      </c>
      <c r="V82" s="4" t="inlineStr">
        <is>
          <t>Medium</t>
        </is>
      </c>
      <c r="W82" s="4" t="inlineStr">
        <is>
          <t>Low</t>
        </is>
      </c>
      <c r="X82" s="4" t="inlineStr">
        <is>
          <t>AI Story Generation Integration Architect</t>
        </is>
      </c>
      <c r="Y82" s="4" t="inlineStr">
        <is>
          <t>Yes</t>
        </is>
      </c>
      <c r="Z82" s="4" t="inlineStr">
        <is>
          <t>Low</t>
        </is>
      </c>
      <c r="AA82" s="4" t="inlineStr">
        <is>
          <t>feature/LS-141-ai-generation-flow-multilingual-child</t>
        </is>
      </c>
      <c r="AB82" s="4" t="inlineStr"/>
      <c r="AC82" s="4" t="inlineStr"/>
      <c r="AD82" s="4" t="inlineStr">
        <is>
          <t>To Do</t>
        </is>
      </c>
      <c r="AE82" s="4" t="inlineStr">
        <is>
          <t>Project owner (human)</t>
        </is>
      </c>
      <c r="AF82" s="4" t="inlineStr">
        <is>
          <t>Awaiting Approval B</t>
        </is>
      </c>
      <c r="AG82" s="4" t="inlineStr"/>
      <c r="AH82" s="4" t="inlineStr">
        <is>
          <t>None</t>
        </is>
      </c>
      <c r="AI82" s="4" t="inlineStr">
        <is>
          <t>N/A</t>
        </is>
      </c>
      <c r="AJ82" s="4" t="inlineStr"/>
      <c r="AK82" s="4" t="inlineStr"/>
      <c r="AL82" s="22">
        <f>AD82&amp;"|"&amp;COUNTIF(AD$2:AD82,AD82)</f>
        <v/>
      </c>
    </row>
    <row r="83" ht="85" customHeight="1">
      <c r="A83" s="17" t="inlineStr">
        <is>
          <t>LS-150</t>
        </is>
      </c>
      <c r="B83" s="4" t="inlineStr">
        <is>
          <t>Task</t>
        </is>
      </c>
      <c r="C83" s="4" t="inlineStr">
        <is>
          <t>LS-EPIC-15</t>
        </is>
      </c>
      <c r="D83" s="4" t="inlineStr">
        <is>
          <t>Configuration docs &amp; 'How to change X' guide</t>
        </is>
      </c>
      <c r="E83" s="4" t="inlineStr">
        <is>
          <t>docs/architecture/configuration-and-constants.md and how-to-change.md (colour, string, spacing, mock story, feature flag, language, screen).</t>
        </is>
      </c>
      <c r="F83" s="4" t="inlineStr">
        <is>
          <t>–</t>
        </is>
      </c>
      <c r="G83" s="4" t="inlineStr">
        <is>
          <t>Cheap future changes</t>
        </is>
      </c>
      <c r="H83" s="4" t="inlineStr">
        <is>
          <t>Medium</t>
        </is>
      </c>
      <c r="I83" s="4" t="inlineStr">
        <is>
          <t>Must</t>
        </is>
      </c>
      <c r="J83" s="4" t="inlineStr">
        <is>
          <t>P2</t>
        </is>
      </c>
      <c r="K83" s="4" t="inlineStr">
        <is>
          <t>Docs</t>
        </is>
      </c>
      <c r="L83" s="4" t="inlineStr">
        <is>
          <t>–</t>
        </is>
      </c>
      <c r="M83" s="4" t="inlineStr">
        <is>
          <t>–</t>
        </is>
      </c>
      <c r="N83" s="4" t="inlineStr">
        <is>
          <t>LS-033, LS-010, LS-040</t>
        </is>
      </c>
      <c r="O83" s="4" t="inlineStr">
        <is>
          <t>Blocks: –
Blocked by: LS-033, LS-010, LS-040</t>
        </is>
      </c>
      <c r="P83" s="4" t="inlineStr">
        <is>
          <t>1. Every central config point documented with file path</t>
        </is>
      </c>
      <c r="Q83" s="4" t="inlineStr">
        <is>
          <t>Std DoD: AC met · no hardcoded strings/colours/dims/config · EN + KN strings present · unit/UI tests pass · lint + translation check pass · screenshots EN/KN attached (UI) · docs updated · human PR review &amp; merge · post-merge verified</t>
        </is>
      </c>
      <c r="R83" s="4" t="inlineStr">
        <is>
          <t>Use tokens, string resources (EN+KN) and AppConfig only.</t>
        </is>
      </c>
      <c r="S83" s="4" t="inlineStr">
        <is>
          <t>Doc walkthrough</t>
        </is>
      </c>
      <c r="T83" s="4" t="inlineStr"/>
      <c r="U83" s="4" t="n">
        <v>2</v>
      </c>
      <c r="V83" s="4" t="inlineStr">
        <is>
          <t>Low</t>
        </is>
      </c>
      <c r="W83" s="4" t="inlineStr">
        <is>
          <t>Low</t>
        </is>
      </c>
      <c r="X83" s="4" t="inlineStr">
        <is>
          <t>Code Quality &amp; Maintainability Reviewer</t>
        </is>
      </c>
      <c r="Y83" s="4" t="inlineStr">
        <is>
          <t>Yes</t>
        </is>
      </c>
      <c r="Z83" s="4" t="inlineStr">
        <is>
          <t>Low</t>
        </is>
      </c>
      <c r="AA83" s="4" t="inlineStr">
        <is>
          <t>claude/project-thread-veobz7</t>
        </is>
      </c>
      <c r="AB83" s="4" t="inlineStr"/>
      <c r="AC83" s="4" t="inlineStr"/>
      <c r="AD83" s="4" t="inlineStr">
        <is>
          <t>In Review</t>
        </is>
      </c>
      <c r="AE83" s="4" t="inlineStr">
        <is>
          <t>Project owner (human)</t>
        </is>
      </c>
      <c r="AF83" s="4" t="inlineStr">
        <is>
          <t>Approval B granted — awaiting owner review of docs PR</t>
        </is>
      </c>
      <c r="AG83" s="4" t="inlineStr">
        <is>
          <t>Drafted 29 Oct 2026: docs/architecture/configuration-and-constants.md, how-to-change.md (drafted early in P1)</t>
        </is>
      </c>
      <c r="AH83" s="4" t="inlineStr">
        <is>
          <t>None</t>
        </is>
      </c>
      <c r="AI83" s="4" t="inlineStr">
        <is>
          <t>N/A</t>
        </is>
      </c>
      <c r="AJ83" s="4" t="inlineStr"/>
      <c r="AK83" s="4" t="inlineStr">
        <is>
          <t>NFR-01</t>
        </is>
      </c>
      <c r="AL83" s="22">
        <f>AD83&amp;"|"&amp;COUNTIF(AD$2:AD83,AD83)</f>
        <v/>
      </c>
    </row>
    <row r="84" ht="85" customHeight="1">
      <c r="A84" s="17" t="inlineStr">
        <is>
          <t>LS-009</t>
        </is>
      </c>
      <c r="B84" s="4" t="inlineStr">
        <is>
          <t>Task</t>
        </is>
      </c>
      <c r="C84" s="4" t="inlineStr">
        <is>
          <t>LS-EPIC-12</t>
        </is>
      </c>
      <c r="D84" s="4" t="inlineStr">
        <is>
          <t>Repository hygiene: default branch main, development branch</t>
        </is>
      </c>
      <c r="E84" s="4" t="inlineStr">
        <is>
          <t>Owner merges PR #1, sets the GitHub default branch back to main and creates development from main (decision D2, R-22).</t>
        </is>
      </c>
      <c r="F84" s="4" t="inlineStr">
        <is>
          <t>–</t>
        </is>
      </c>
      <c r="G84" s="4" t="inlineStr">
        <is>
          <t>Every branch and PR starts from the right base</t>
        </is>
      </c>
      <c r="H84" s="4" t="inlineStr">
        <is>
          <t>Highest</t>
        </is>
      </c>
      <c r="I84" s="4" t="inlineStr">
        <is>
          <t>Must</t>
        </is>
      </c>
      <c r="J84" s="4" t="inlineStr">
        <is>
          <t>P1</t>
        </is>
      </c>
      <c r="K84" s="4" t="inlineStr">
        <is>
          <t>GitHub settings</t>
        </is>
      </c>
      <c r="L84" s="4" t="inlineStr">
        <is>
          <t>–</t>
        </is>
      </c>
      <c r="M84" s="4" t="inlineStr">
        <is>
          <t>–</t>
        </is>
      </c>
      <c r="N84" s="4" t="inlineStr">
        <is>
          <t>LS-001</t>
        </is>
      </c>
      <c r="O84" s="4" t="inlineStr">
        <is>
          <t>Blocks: LS-030, LS-131
Blocked by: LS-001</t>
        </is>
      </c>
      <c r="P84" s="4" t="inlineStr">
        <is>
          <t>1. Default branch is main
2. development exists from main
3. PR #1 merged by owner</t>
        </is>
      </c>
      <c r="Q84" s="4" t="inlineStr">
        <is>
          <t>Owner confirms settings changed</t>
        </is>
      </c>
      <c r="R84" s="4" t="inlineStr">
        <is>
          <t>Owner action in GitHub settings; agents must not change repository settings.</t>
        </is>
      </c>
      <c r="S84" s="4" t="inlineStr">
        <is>
          <t>Verify via GitHub API</t>
        </is>
      </c>
      <c r="T84" s="4" t="n"/>
      <c r="U84" s="4" t="n">
        <v>1</v>
      </c>
      <c r="V84" s="4" t="inlineStr">
        <is>
          <t>Low</t>
        </is>
      </c>
      <c r="W84" s="4" t="inlineStr">
        <is>
          <t>Medium</t>
        </is>
      </c>
      <c r="X84" s="4" t="inlineStr">
        <is>
          <t>Release and Deployment Coordinator</t>
        </is>
      </c>
      <c r="Y84" s="4" t="inlineStr">
        <is>
          <t>Yes</t>
        </is>
      </c>
      <c r="Z84" s="4" t="inlineStr">
        <is>
          <t>Low</t>
        </is>
      </c>
      <c r="AA84" s="4" t="inlineStr">
        <is>
          <t>–</t>
        </is>
      </c>
      <c r="AB84" s="4" t="n"/>
      <c r="AC84" s="4" t="n"/>
      <c r="AD84" s="4" t="inlineStr">
        <is>
          <t>To Do</t>
        </is>
      </c>
      <c r="AE84" s="4" t="inlineStr">
        <is>
          <t>Project owner (human)</t>
        </is>
      </c>
      <c r="AF84" s="4" t="inlineStr">
        <is>
          <t>Awaiting owner (D2)</t>
        </is>
      </c>
      <c r="AG84" s="4" t="n"/>
      <c r="AH84" s="4" t="inlineStr">
        <is>
          <t>None</t>
        </is>
      </c>
      <c r="AI84" s="4" t="inlineStr">
        <is>
          <t>N/A</t>
        </is>
      </c>
      <c r="AJ84" s="4" t="n"/>
      <c r="AK84" s="4" t="n"/>
      <c r="AL84" s="22">
        <f>AD84&amp;"|"&amp;COUNTIF(AD$2:AD84,AD84)</f>
        <v/>
      </c>
    </row>
    <row r="85" ht="85" customHeight="1">
      <c r="A85" s="17" t="inlineStr">
        <is>
          <t>LS-039</t>
        </is>
      </c>
      <c r="B85" s="4" t="inlineStr">
        <is>
          <t>Task</t>
        </is>
      </c>
      <c r="C85" s="4" t="inlineStr">
        <is>
          <t>LS-EPIC-12</t>
        </is>
      </c>
      <c r="D85" s="4" t="inlineStr">
        <is>
          <t>Build verification environment (ADR-017)</t>
        </is>
      </c>
      <c r="E85" s="4" t="inlineStr">
        <is>
          <t>Make Android builds verifiable for agent PRs: allow dl.google.com in the cloud environment network settings and rely on GitHub Actions (LS-130) as the shared runner (decision D3, R-21).</t>
        </is>
      </c>
      <c r="F85" s="4" t="inlineStr">
        <is>
          <t>–</t>
        </is>
      </c>
      <c r="G85" s="4" t="inlineStr">
        <is>
          <t>PRs carry real build and test evidence</t>
        </is>
      </c>
      <c r="H85" s="4" t="inlineStr">
        <is>
          <t>Highest</t>
        </is>
      </c>
      <c r="I85" s="4" t="inlineStr">
        <is>
          <t>Must</t>
        </is>
      </c>
      <c r="J85" s="4" t="inlineStr">
        <is>
          <t>P2</t>
        </is>
      </c>
      <c r="K85" s="4" t="inlineStr">
        <is>
          <t>Environment / CI</t>
        </is>
      </c>
      <c r="L85" s="4" t="inlineStr">
        <is>
          <t>–</t>
        </is>
      </c>
      <c r="M85" s="4" t="inlineStr">
        <is>
          <t>–</t>
        </is>
      </c>
      <c r="N85" s="4" t="inlineStr">
        <is>
          <t>LS-009</t>
        </is>
      </c>
      <c r="O85" s="4" t="inlineStr">
        <is>
          <t>Blocks: LS-030, LS-035, LS-130
Blocked by: LS-009</t>
        </is>
      </c>
      <c r="P85" s="4" t="inlineStr">
        <is>
          <t>1. A Gradle sync that downloads AGP succeeds in the agent workspace or CI
2. Decision recorded in ADR-017</t>
        </is>
      </c>
      <c r="Q85" s="4" t="inlineStr">
        <is>
          <t>ADR-017 approved and verified with a real sync</t>
        </is>
      </c>
      <c r="R85" s="4" t="inlineStr">
        <is>
          <t>Owner changes Network access in the project cloud environment; no credentials in the repo.</t>
        </is>
      </c>
      <c r="S85" s="4" t="inlineStr">
        <is>
          <t>Gradle sync / assembleDebug run</t>
        </is>
      </c>
      <c r="T85" s="4" t="n"/>
      <c r="U85" s="4" t="n">
        <v>1</v>
      </c>
      <c r="V85" s="4" t="inlineStr">
        <is>
          <t>Low</t>
        </is>
      </c>
      <c r="W85" s="4" t="inlineStr">
        <is>
          <t>High</t>
        </is>
      </c>
      <c r="X85" s="4" t="inlineStr">
        <is>
          <t>Build, Gradle &amp; CI/CD Engineer</t>
        </is>
      </c>
      <c r="Y85" s="4" t="inlineStr">
        <is>
          <t>Yes</t>
        </is>
      </c>
      <c r="Z85" s="4" t="inlineStr">
        <is>
          <t>Low</t>
        </is>
      </c>
      <c r="AA85" s="4" t="inlineStr">
        <is>
          <t>–</t>
        </is>
      </c>
      <c r="AB85" s="4" t="n"/>
      <c r="AC85" s="4" t="n"/>
      <c r="AD85" s="4" t="inlineStr">
        <is>
          <t>To Do</t>
        </is>
      </c>
      <c r="AE85" s="4" t="inlineStr">
        <is>
          <t>Project owner (human)</t>
        </is>
      </c>
      <c r="AF85" s="4" t="inlineStr">
        <is>
          <t>Awaiting owner (D3)</t>
        </is>
      </c>
      <c r="AG85" s="4" t="n"/>
      <c r="AH85" s="4" t="inlineStr">
        <is>
          <t>None</t>
        </is>
      </c>
      <c r="AI85" s="4" t="inlineStr">
        <is>
          <t>N/A</t>
        </is>
      </c>
      <c r="AJ85" s="4" t="n"/>
      <c r="AK85" s="4" t="n"/>
      <c r="AL85" s="22">
        <f>AD85&amp;"|"&amp;COUNTIF(AD$2:AD85,AD85)</f>
        <v/>
      </c>
    </row>
  </sheetData>
  <autoFilter ref="A1:AL85"/>
  <conditionalFormatting sqref="AD2:AD83">
    <cfRule type="cellIs" priority="1" operator="equal" dxfId="5">
      <formula>"To Do"</formula>
    </cfRule>
    <cfRule type="cellIs" priority="2" operator="equal" dxfId="6">
      <formula>"In Progress"</formula>
    </cfRule>
    <cfRule type="cellIs" priority="3" operator="equal" dxfId="7">
      <formula>"In Review"</formula>
    </cfRule>
    <cfRule type="cellIs" priority="4" operator="equal" dxfId="8">
      <formula>"Blocked"</formula>
    </cfRule>
    <cfRule type="cellIs" priority="5" operator="equal" dxfId="9">
      <formula>"Done"</formula>
    </cfRule>
    <cfRule type="cellIs" priority="6" operator="equal" dxfId="10">
      <formula>"Needs Clarification"</formula>
    </cfRule>
  </conditionalFormatting>
  <conditionalFormatting sqref="H2:H83">
    <cfRule type="cellIs" priority="7" operator="equal" dxfId="8">
      <formula>"Highest"</formula>
    </cfRule>
    <cfRule type="cellIs" priority="8" operator="equal" dxfId="11">
      <formula>"High"</formula>
    </cfRule>
  </conditionalFormatting>
  <dataValidations count="10">
    <dataValidation sqref="B2:B300" showDropDown="0" showInputMessage="0" showErrorMessage="0" allowBlank="1" type="list">
      <formula1>=Lists!$E$2:$E$6</formula1>
    </dataValidation>
    <dataValidation sqref="H2:H300" showDropDown="0" showInputMessage="0" showErrorMessage="0" allowBlank="1" type="list">
      <formula1>=Lists!$B$2:$B$5</formula1>
    </dataValidation>
    <dataValidation sqref="I2:I300" showDropDown="0" showInputMessage="0" showErrorMessage="0" allowBlank="1" type="list">
      <formula1>=Lists!$C$2:$C$5</formula1>
    </dataValidation>
    <dataValidation sqref="J2:J300" showDropDown="0" showInputMessage="0" showErrorMessage="0" allowBlank="1" type="list">
      <formula1>=Lists!$D$2:$D$10</formula1>
    </dataValidation>
    <dataValidation sqref="W2:W300" showDropDown="0" showInputMessage="0" showErrorMessage="0" allowBlank="1" type="list">
      <formula1>=Lists!$L$2:$L$4</formula1>
    </dataValidation>
    <dataValidation sqref="Y2:Y300" showDropDown="0" showInputMessage="0" showErrorMessage="0" allowBlank="1" type="list">
      <formula1>=Lists!$F$2:$F$4</formula1>
    </dataValidation>
    <dataValidation sqref="Z2:Z300" showDropDown="0" showInputMessage="0" showErrorMessage="0" allowBlank="1" type="list">
      <formula1>=Lists!$G$2:$G$4</formula1>
    </dataValidation>
    <dataValidation sqref="AD2:AD300" showDropDown="0" showInputMessage="0" showErrorMessage="0" allowBlank="1" type="list">
      <formula1>=Lists!$A$2:$A$7</formula1>
    </dataValidation>
    <dataValidation sqref="AH2:AH300" showDropDown="0" showInputMessage="0" showErrorMessage="0" allowBlank="1" type="list">
      <formula1>=Lists!$H$2:$H$5</formula1>
    </dataValidation>
    <dataValidation sqref="AI2:AI300" showDropDown="0" showInputMessage="0" showErrorMessage="0" allowBlank="1" type="list">
      <formula1>=Lists!$I$2:$I$6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8" r:id="rId4"/>
    <hyperlink xmlns:r="http://schemas.openxmlformats.org/officeDocument/2006/relationships" ref="M10" r:id="rId5"/>
    <hyperlink xmlns:r="http://schemas.openxmlformats.org/officeDocument/2006/relationships" ref="M11" r:id="rId6"/>
    <hyperlink xmlns:r="http://schemas.openxmlformats.org/officeDocument/2006/relationships" ref="M12" r:id="rId7"/>
    <hyperlink xmlns:r="http://schemas.openxmlformats.org/officeDocument/2006/relationships" ref="M13" r:id="rId8"/>
    <hyperlink xmlns:r="http://schemas.openxmlformats.org/officeDocument/2006/relationships" ref="L14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L16" r:id="rId12"/>
    <hyperlink xmlns:r="http://schemas.openxmlformats.org/officeDocument/2006/relationships" ref="M16" r:id="rId13"/>
    <hyperlink xmlns:r="http://schemas.openxmlformats.org/officeDocument/2006/relationships" ref="L17" r:id="rId14"/>
    <hyperlink xmlns:r="http://schemas.openxmlformats.org/officeDocument/2006/relationships" ref="M17" r:id="rId15"/>
    <hyperlink xmlns:r="http://schemas.openxmlformats.org/officeDocument/2006/relationships" ref="L18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7" r:id="rId19"/>
    <hyperlink xmlns:r="http://schemas.openxmlformats.org/officeDocument/2006/relationships" ref="M30" r:id="rId20"/>
    <hyperlink xmlns:r="http://schemas.openxmlformats.org/officeDocument/2006/relationships" ref="M33" r:id="rId21"/>
    <hyperlink xmlns:r="http://schemas.openxmlformats.org/officeDocument/2006/relationships" ref="L34" r:id="rId22"/>
    <hyperlink xmlns:r="http://schemas.openxmlformats.org/officeDocument/2006/relationships" ref="M34" r:id="rId23"/>
    <hyperlink xmlns:r="http://schemas.openxmlformats.org/officeDocument/2006/relationships" ref="L35" r:id="rId24"/>
    <hyperlink xmlns:r="http://schemas.openxmlformats.org/officeDocument/2006/relationships" ref="M35" r:id="rId25"/>
    <hyperlink xmlns:r="http://schemas.openxmlformats.org/officeDocument/2006/relationships" ref="L36" r:id="rId26"/>
    <hyperlink xmlns:r="http://schemas.openxmlformats.org/officeDocument/2006/relationships" ref="M36" r:id="rId27"/>
    <hyperlink xmlns:r="http://schemas.openxmlformats.org/officeDocument/2006/relationships" ref="M37" r:id="rId28"/>
    <hyperlink xmlns:r="http://schemas.openxmlformats.org/officeDocument/2006/relationships" ref="M39" r:id="rId29"/>
    <hyperlink xmlns:r="http://schemas.openxmlformats.org/officeDocument/2006/relationships" ref="L40" r:id="rId30"/>
    <hyperlink xmlns:r="http://schemas.openxmlformats.org/officeDocument/2006/relationships" ref="M40" r:id="rId31"/>
    <hyperlink xmlns:r="http://schemas.openxmlformats.org/officeDocument/2006/relationships" ref="M41" r:id="rId32"/>
    <hyperlink xmlns:r="http://schemas.openxmlformats.org/officeDocument/2006/relationships" ref="L42" r:id="rId33"/>
    <hyperlink xmlns:r="http://schemas.openxmlformats.org/officeDocument/2006/relationships" ref="M42" r:id="rId34"/>
    <hyperlink xmlns:r="http://schemas.openxmlformats.org/officeDocument/2006/relationships" ref="L43" r:id="rId35"/>
    <hyperlink xmlns:r="http://schemas.openxmlformats.org/officeDocument/2006/relationships" ref="M43" r:id="rId36"/>
    <hyperlink xmlns:r="http://schemas.openxmlformats.org/officeDocument/2006/relationships" ref="L44" r:id="rId37"/>
    <hyperlink xmlns:r="http://schemas.openxmlformats.org/officeDocument/2006/relationships" ref="M44" r:id="rId38"/>
    <hyperlink xmlns:r="http://schemas.openxmlformats.org/officeDocument/2006/relationships" ref="L45" r:id="rId39"/>
    <hyperlink xmlns:r="http://schemas.openxmlformats.org/officeDocument/2006/relationships" ref="M45" r:id="rId40"/>
    <hyperlink xmlns:r="http://schemas.openxmlformats.org/officeDocument/2006/relationships" ref="L46" r:id="rId41"/>
    <hyperlink xmlns:r="http://schemas.openxmlformats.org/officeDocument/2006/relationships" ref="M46" r:id="rId42"/>
    <hyperlink xmlns:r="http://schemas.openxmlformats.org/officeDocument/2006/relationships" ref="L47" r:id="rId43"/>
    <hyperlink xmlns:r="http://schemas.openxmlformats.org/officeDocument/2006/relationships" ref="M47" r:id="rId44"/>
    <hyperlink xmlns:r="http://schemas.openxmlformats.org/officeDocument/2006/relationships" ref="L48" r:id="rId45"/>
    <hyperlink xmlns:r="http://schemas.openxmlformats.org/officeDocument/2006/relationships" ref="M48" r:id="rId46"/>
    <hyperlink xmlns:r="http://schemas.openxmlformats.org/officeDocument/2006/relationships" ref="L49" r:id="rId47"/>
    <hyperlink xmlns:r="http://schemas.openxmlformats.org/officeDocument/2006/relationships" ref="M49" r:id="rId48"/>
    <hyperlink xmlns:r="http://schemas.openxmlformats.org/officeDocument/2006/relationships" ref="L50" r:id="rId49"/>
    <hyperlink xmlns:r="http://schemas.openxmlformats.org/officeDocument/2006/relationships" ref="M50" r:id="rId50"/>
    <hyperlink xmlns:r="http://schemas.openxmlformats.org/officeDocument/2006/relationships" ref="M51" r:id="rId51"/>
    <hyperlink xmlns:r="http://schemas.openxmlformats.org/officeDocument/2006/relationships" ref="L52" r:id="rId52"/>
    <hyperlink xmlns:r="http://schemas.openxmlformats.org/officeDocument/2006/relationships" ref="M52" r:id="rId53"/>
    <hyperlink xmlns:r="http://schemas.openxmlformats.org/officeDocument/2006/relationships" ref="L53" r:id="rId54"/>
    <hyperlink xmlns:r="http://schemas.openxmlformats.org/officeDocument/2006/relationships" ref="M53" r:id="rId55"/>
    <hyperlink xmlns:r="http://schemas.openxmlformats.org/officeDocument/2006/relationships" ref="L54" r:id="rId56"/>
    <hyperlink xmlns:r="http://schemas.openxmlformats.org/officeDocument/2006/relationships" ref="M54" r:id="rId57"/>
    <hyperlink xmlns:r="http://schemas.openxmlformats.org/officeDocument/2006/relationships" ref="L55" r:id="rId58"/>
    <hyperlink xmlns:r="http://schemas.openxmlformats.org/officeDocument/2006/relationships" ref="M55" r:id="rId59"/>
    <hyperlink xmlns:r="http://schemas.openxmlformats.org/officeDocument/2006/relationships" ref="L56" r:id="rId60"/>
    <hyperlink xmlns:r="http://schemas.openxmlformats.org/officeDocument/2006/relationships" ref="M56" r:id="rId61"/>
    <hyperlink xmlns:r="http://schemas.openxmlformats.org/officeDocument/2006/relationships" ref="L57" r:id="rId62"/>
    <hyperlink xmlns:r="http://schemas.openxmlformats.org/officeDocument/2006/relationships" ref="M57" r:id="rId63"/>
    <hyperlink xmlns:r="http://schemas.openxmlformats.org/officeDocument/2006/relationships" ref="L58" r:id="rId64"/>
    <hyperlink xmlns:r="http://schemas.openxmlformats.org/officeDocument/2006/relationships" ref="M58" r:id="rId65"/>
    <hyperlink xmlns:r="http://schemas.openxmlformats.org/officeDocument/2006/relationships" ref="L59" r:id="rId66"/>
    <hyperlink xmlns:r="http://schemas.openxmlformats.org/officeDocument/2006/relationships" ref="M59" r:id="rId67"/>
    <hyperlink xmlns:r="http://schemas.openxmlformats.org/officeDocument/2006/relationships" ref="L60" r:id="rId68"/>
    <hyperlink xmlns:r="http://schemas.openxmlformats.org/officeDocument/2006/relationships" ref="M60" r:id="rId69"/>
    <hyperlink xmlns:r="http://schemas.openxmlformats.org/officeDocument/2006/relationships" ref="L61" r:id="rId70"/>
    <hyperlink xmlns:r="http://schemas.openxmlformats.org/officeDocument/2006/relationships" ref="M61" r:id="rId71"/>
    <hyperlink xmlns:r="http://schemas.openxmlformats.org/officeDocument/2006/relationships" ref="L62" r:id="rId72"/>
    <hyperlink xmlns:r="http://schemas.openxmlformats.org/officeDocument/2006/relationships" ref="M62" r:id="rId73"/>
    <hyperlink xmlns:r="http://schemas.openxmlformats.org/officeDocument/2006/relationships" ref="L63" r:id="rId74"/>
    <hyperlink xmlns:r="http://schemas.openxmlformats.org/officeDocument/2006/relationships" ref="M63" r:id="rId75"/>
    <hyperlink xmlns:r="http://schemas.openxmlformats.org/officeDocument/2006/relationships" ref="L64" r:id="rId76"/>
    <hyperlink xmlns:r="http://schemas.openxmlformats.org/officeDocument/2006/relationships" ref="M64" r:id="rId77"/>
    <hyperlink xmlns:r="http://schemas.openxmlformats.org/officeDocument/2006/relationships" ref="L65" r:id="rId78"/>
    <hyperlink xmlns:r="http://schemas.openxmlformats.org/officeDocument/2006/relationships" ref="M65" r:id="rId79"/>
    <hyperlink xmlns:r="http://schemas.openxmlformats.org/officeDocument/2006/relationships" ref="L66" r:id="rId80"/>
    <hyperlink xmlns:r="http://schemas.openxmlformats.org/officeDocument/2006/relationships" ref="M66" r:id="rId81"/>
    <hyperlink xmlns:r="http://schemas.openxmlformats.org/officeDocument/2006/relationships" ref="L67" r:id="rId82"/>
    <hyperlink xmlns:r="http://schemas.openxmlformats.org/officeDocument/2006/relationships" ref="M67" r:id="rId83"/>
    <hyperlink xmlns:r="http://schemas.openxmlformats.org/officeDocument/2006/relationships" ref="L68" r:id="rId84"/>
    <hyperlink xmlns:r="http://schemas.openxmlformats.org/officeDocument/2006/relationships" ref="M68" r:id="rId85"/>
    <hyperlink xmlns:r="http://schemas.openxmlformats.org/officeDocument/2006/relationships" ref="L69" r:id="rId86"/>
    <hyperlink xmlns:r="http://schemas.openxmlformats.org/officeDocument/2006/relationships" ref="M69" r:id="rId87"/>
    <hyperlink xmlns:r="http://schemas.openxmlformats.org/officeDocument/2006/relationships" ref="M71" r:id="rId88"/>
    <hyperlink xmlns:r="http://schemas.openxmlformats.org/officeDocument/2006/relationships" ref="M72" r:id="rId89"/>
    <hyperlink xmlns:r="http://schemas.openxmlformats.org/officeDocument/2006/relationships" ref="M73" r:id="rId90"/>
    <hyperlink xmlns:r="http://schemas.openxmlformats.org/officeDocument/2006/relationships" ref="M74" r:id="rId91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A995F5"/>
    <outlinePr summaryBelow="1" summaryRight="1"/>
    <pageSetUpPr/>
  </sheetPr>
  <dimension ref="A1:I16"/>
  <sheetViews>
    <sheetView zoomScale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8" customWidth="1" min="2" max="2"/>
    <col width="60" customWidth="1" min="3" max="3"/>
    <col width="9" customWidth="1" min="4" max="4"/>
    <col width="30" customWidth="1" min="5" max="5"/>
    <col width="9" customWidth="1" min="6" max="6"/>
    <col width="11" customWidth="1" min="7" max="7"/>
    <col width="8" customWidth="1" min="8" max="8"/>
    <col width="12" customWidth="1" min="9" max="9"/>
  </cols>
  <sheetData>
    <row r="1" ht="32" customHeight="1">
      <c r="A1" s="20" t="inlineStr">
        <is>
          <t>Epic ID</t>
        </is>
      </c>
      <c r="B1" s="20" t="inlineStr">
        <is>
          <t>Epic Name</t>
        </is>
      </c>
      <c r="C1" s="20" t="inlineStr">
        <is>
          <t>Goal</t>
        </is>
      </c>
      <c r="D1" s="20" t="inlineStr">
        <is>
          <t>Phases</t>
        </is>
      </c>
      <c r="E1" s="20" t="inlineStr">
        <is>
          <t>Business Value</t>
        </is>
      </c>
      <c r="F1" s="20" t="inlineStr">
        <is>
          <t>Tickets</t>
        </is>
      </c>
      <c r="G1" s="20" t="inlineStr">
        <is>
          <t>Story Points</t>
        </is>
      </c>
      <c r="H1" s="20" t="inlineStr">
        <is>
          <t>Done</t>
        </is>
      </c>
      <c r="I1" s="20" t="inlineStr">
        <is>
          <t>% Done (points)</t>
        </is>
      </c>
    </row>
    <row r="2" ht="31" customHeight="1">
      <c r="A2" s="17" t="inlineStr">
        <is>
          <t>LS-EPIC-01</t>
        </is>
      </c>
      <c r="B2" s="4" t="inlineStr">
        <is>
          <t>Product Discovery and Requirements</t>
        </is>
      </c>
      <c r="C2" s="4" t="inlineStr">
        <is>
          <t>Verified repo/design inventory, requirements, decisions, agent instructions</t>
        </is>
      </c>
      <c r="D2" s="4" t="inlineStr">
        <is>
          <t>P0–P1</t>
        </is>
      </c>
      <c r="E2" s="4" t="inlineStr">
        <is>
          <t>Delivery clarity – avoids rework</t>
        </is>
      </c>
      <c r="F2" s="4">
        <f>COUNTIF(Backlog!$C$2:$C$300,A2)</f>
        <v/>
      </c>
      <c r="G2" s="4">
        <f>SUMIF(Backlog!$C$2:$C$300,A2,Backlog!$U$2:$U$300)</f>
        <v/>
      </c>
      <c r="H2" s="4">
        <f>COUNTIFS(Backlog!$C$2:$C$300,A2,Backlog!$AD$2:$AD$300,"Done")</f>
        <v/>
      </c>
      <c r="I2" s="23">
        <f>IF(G2=0,0,SUMIFS(Backlog!$U$2:$U$300,Backlog!$C$2:$C$300,A2,Backlog!$AD$2:$AD$300,"Done")/G2)</f>
        <v/>
      </c>
    </row>
    <row r="3" ht="31" customHeight="1">
      <c r="A3" s="17" t="inlineStr">
        <is>
          <t>LS-EPIC-02</t>
        </is>
      </c>
      <c r="B3" s="4" t="inlineStr">
        <is>
          <t>Design System (from Figma Make)</t>
        </is>
      </c>
      <c r="C3" s="4" t="inlineStr">
        <is>
          <t>Tokens, typography, icons, reusable Compose components matching the design pack</t>
        </is>
      </c>
      <c r="D3" s="4" t="inlineStr">
        <is>
          <t>P2</t>
        </is>
      </c>
      <c r="E3" s="4" t="inlineStr">
        <is>
          <t>Visual fidelity and consistency</t>
        </is>
      </c>
      <c r="F3" s="4">
        <f>COUNTIF(Backlog!$C$2:$C$300,A3)</f>
        <v/>
      </c>
      <c r="G3" s="4">
        <f>SUMIF(Backlog!$C$2:$C$300,A3,Backlog!$U$2:$U$300)</f>
        <v/>
      </c>
      <c r="H3" s="4">
        <f>COUNTIFS(Backlog!$C$2:$C$300,A3,Backlog!$AD$2:$AD$300,"Done")</f>
        <v/>
      </c>
      <c r="I3" s="23">
        <f>IF(G3=0,0,SUMIFS(Backlog!$U$2:$U$300,Backlog!$C$2:$C$300,A3,Backlog!$AD$2:$AD$300,"Done")/G3)</f>
        <v/>
      </c>
    </row>
    <row r="4" ht="18" customHeight="1">
      <c r="A4" s="17" t="inlineStr">
        <is>
          <t>LS-EPIC-03</t>
        </is>
      </c>
      <c r="B4" s="4" t="inlineStr">
        <is>
          <t>Android Foundation</t>
        </is>
      </c>
      <c r="C4" s="4" t="inlineStr">
        <is>
          <t>Build, modules, DI, config, mock data, domain, persistence, tooling</t>
        </is>
      </c>
      <c r="D4" s="4" t="inlineStr">
        <is>
          <t>P2</t>
        </is>
      </c>
      <c r="E4" s="4" t="inlineStr">
        <is>
          <t>Maintainable, testable base</t>
        </is>
      </c>
      <c r="F4" s="4">
        <f>COUNTIF(Backlog!$C$2:$C$300,A4)</f>
        <v/>
      </c>
      <c r="G4" s="4">
        <f>SUMIF(Backlog!$C$2:$C$300,A4,Backlog!$U$2:$U$300)</f>
        <v/>
      </c>
      <c r="H4" s="4">
        <f>COUNTIFS(Backlog!$C$2:$C$300,A4,Backlog!$AD$2:$AD$300,"Done")</f>
        <v/>
      </c>
      <c r="I4" s="23">
        <f>IF(G4=0,0,SUMIFS(Backlog!$U$2:$U$300,Backlog!$C$2:$C$300,A4,Backlog!$AD$2:$AD$300,"Done")/G4)</f>
        <v/>
      </c>
    </row>
    <row r="5" ht="18" customHeight="1">
      <c r="A5" s="17" t="inlineStr">
        <is>
          <t>LS-EPIC-04</t>
        </is>
      </c>
      <c r="B5" s="4" t="inlineStr">
        <is>
          <t>Navigation and Application Shell</t>
        </is>
      </c>
      <c r="C5" s="4" t="inlineStr">
        <is>
          <t>Typed navigation for all screens, splash, system bars</t>
        </is>
      </c>
      <c r="D5" s="4" t="inlineStr">
        <is>
          <t>P3</t>
        </is>
      </c>
      <c r="E5" s="4" t="inlineStr">
        <is>
          <t>Coherent app structure</t>
        </is>
      </c>
      <c r="F5" s="4">
        <f>COUNTIF(Backlog!$C$2:$C$300,A5)</f>
        <v/>
      </c>
      <c r="G5" s="4">
        <f>SUMIF(Backlog!$C$2:$C$300,A5,Backlog!$U$2:$U$300)</f>
        <v/>
      </c>
      <c r="H5" s="4">
        <f>COUNTIFS(Backlog!$C$2:$C$300,A5,Backlog!$AD$2:$AD$300,"Done")</f>
        <v/>
      </c>
      <c r="I5" s="23">
        <f>IF(G5=0,0,SUMIFS(Backlog!$U$2:$U$300,Backlog!$C$2:$C$300,A5,Backlog!$AD$2:$AD$300,"Done")/G5)</f>
        <v/>
      </c>
    </row>
    <row r="6" ht="18" customHeight="1">
      <c r="A6" s="17" t="inlineStr">
        <is>
          <t>LS-EPIC-05</t>
        </is>
      </c>
      <c r="B6" s="4" t="inlineStr">
        <is>
          <t>Onboarding and Profiles</t>
        </is>
      </c>
      <c r="C6" s="4" t="inlineStr">
        <is>
          <t>Onboarding, child setup, multiple child profiles</t>
        </is>
      </c>
      <c r="D6" s="4" t="inlineStr">
        <is>
          <t>P3–P6</t>
        </is>
      </c>
      <c r="E6" s="4" t="inlineStr">
        <is>
          <t>Personalised first-run experience</t>
        </is>
      </c>
      <c r="F6" s="4">
        <f>COUNTIF(Backlog!$C$2:$C$300,A6)</f>
        <v/>
      </c>
      <c r="G6" s="4">
        <f>SUMIF(Backlog!$C$2:$C$300,A6,Backlog!$U$2:$U$300)</f>
        <v/>
      </c>
      <c r="H6" s="4">
        <f>COUNTIFS(Backlog!$C$2:$C$300,A6,Backlog!$AD$2:$AD$300,"Done")</f>
        <v/>
      </c>
      <c r="I6" s="23">
        <f>IF(G6=0,0,SUMIFS(Backlog!$U$2:$U$300,Backlog!$C$2:$C$300,A6,Backlog!$AD$2:$AD$300,"Done")/G6)</f>
        <v/>
      </c>
    </row>
    <row r="7" ht="18" customHeight="1">
      <c r="A7" s="17" t="inlineStr">
        <is>
          <t>LS-EPIC-06</t>
        </is>
      </c>
      <c r="B7" s="4" t="inlineStr">
        <is>
          <t>Home and Story Discovery</t>
        </is>
      </c>
      <c r="C7" s="4" t="inlineStr">
        <is>
          <t>Home, Discover, Category, Story Detail, favourites</t>
        </is>
      </c>
      <c r="D7" s="4" t="inlineStr">
        <is>
          <t>P4</t>
        </is>
      </c>
      <c r="E7" s="4" t="inlineStr">
        <is>
          <t>Core browsing value</t>
        </is>
      </c>
      <c r="F7" s="4">
        <f>COUNTIF(Backlog!$C$2:$C$300,A7)</f>
        <v/>
      </c>
      <c r="G7" s="4">
        <f>SUMIF(Backlog!$C$2:$C$300,A7,Backlog!$U$2:$U$300)</f>
        <v/>
      </c>
      <c r="H7" s="4">
        <f>COUNTIFS(Backlog!$C$2:$C$300,A7,Backlog!$AD$2:$AD$300,"Done")</f>
        <v/>
      </c>
      <c r="I7" s="23">
        <f>IF(G7=0,0,SUMIFS(Backlog!$U$2:$U$300,Backlog!$C$2:$C$300,A7,Backlog!$AD$2:$AD$300,"Done")/G7)</f>
        <v/>
      </c>
    </row>
    <row r="8" ht="18" customHeight="1">
      <c r="A8" s="17" t="inlineStr">
        <is>
          <t>LS-EPIC-07</t>
        </is>
      </c>
      <c r="B8" s="4" t="inlineStr">
        <is>
          <t>Story Creation</t>
        </is>
      </c>
      <c r="C8" s="4" t="inlineStr">
        <is>
          <t>Create form, simulated generation, story ready</t>
        </is>
      </c>
      <c r="D8" s="4" t="inlineStr">
        <is>
          <t>P4</t>
        </is>
      </c>
      <c r="E8" s="4" t="inlineStr">
        <is>
          <t>Signature feature</t>
        </is>
      </c>
      <c r="F8" s="4">
        <f>COUNTIF(Backlog!$C$2:$C$300,A8)</f>
        <v/>
      </c>
      <c r="G8" s="4">
        <f>SUMIF(Backlog!$C$2:$C$300,A8,Backlog!$U$2:$U$300)</f>
        <v/>
      </c>
      <c r="H8" s="4">
        <f>COUNTIFS(Backlog!$C$2:$C$300,A8,Backlog!$AD$2:$AD$300,"Done")</f>
        <v/>
      </c>
      <c r="I8" s="23">
        <f>IF(G8=0,0,SUMIFS(Backlog!$U$2:$U$300,Backlog!$C$2:$C$300,A8,Backlog!$AD$2:$AD$300,"Done")/G8)</f>
        <v/>
      </c>
    </row>
    <row r="9" ht="18" customHeight="1">
      <c r="A9" s="17" t="inlineStr">
        <is>
          <t>LS-EPIC-08</t>
        </is>
      </c>
      <c r="B9" s="4" t="inlineStr">
        <is>
          <t>Reader and Audio</t>
        </is>
      </c>
      <c r="C9" s="4" t="inlineStr">
        <is>
          <t>Reader, simulated player, sleep timer, progress</t>
        </is>
      </c>
      <c r="D9" s="4" t="inlineStr">
        <is>
          <t>P5</t>
        </is>
      </c>
      <c r="E9" s="4" t="inlineStr">
        <is>
          <t>Bedtime reading/listening</t>
        </is>
      </c>
      <c r="F9" s="4">
        <f>COUNTIF(Backlog!$C$2:$C$300,A9)</f>
        <v/>
      </c>
      <c r="G9" s="4">
        <f>SUMIF(Backlog!$C$2:$C$300,A9,Backlog!$U$2:$U$300)</f>
        <v/>
      </c>
      <c r="H9" s="4">
        <f>COUNTIFS(Backlog!$C$2:$C$300,A9,Backlog!$AD$2:$AD$300,"Done")</f>
        <v/>
      </c>
      <c r="I9" s="23">
        <f>IF(G9=0,0,SUMIFS(Backlog!$U$2:$U$300,Backlog!$C$2:$C$300,A9,Backlog!$AD$2:$AD$300,"Done")/G9)</f>
        <v/>
      </c>
    </row>
    <row r="10" ht="18" customHeight="1">
      <c r="A10" s="17" t="inlineStr">
        <is>
          <t>LS-EPIC-09</t>
        </is>
      </c>
      <c r="B10" s="4" t="inlineStr">
        <is>
          <t>Saved Library and Downloads</t>
        </is>
      </c>
      <c r="C10" s="4" t="inlineStr">
        <is>
          <t>My Stories, recently played, simulated downloads</t>
        </is>
      </c>
      <c r="D10" s="4" t="inlineStr">
        <is>
          <t>P5–P6</t>
        </is>
      </c>
      <c r="E10" s="4" t="inlineStr">
        <is>
          <t>Re-engagement</t>
        </is>
      </c>
      <c r="F10" s="4">
        <f>COUNTIF(Backlog!$C$2:$C$300,A10)</f>
        <v/>
      </c>
      <c r="G10" s="4">
        <f>SUMIF(Backlog!$C$2:$C$300,A10,Backlog!$U$2:$U$300)</f>
        <v/>
      </c>
      <c r="H10" s="4">
        <f>COUNTIFS(Backlog!$C$2:$C$300,A10,Backlog!$AD$2:$AD$300,"Done")</f>
        <v/>
      </c>
      <c r="I10" s="23">
        <f>IF(G10=0,0,SUMIFS(Backlog!$U$2:$U$300,Backlog!$C$2:$C$300,A10,Backlog!$AD$2:$AD$300,"Done")/G10)</f>
        <v/>
      </c>
    </row>
    <row r="11" ht="31" customHeight="1">
      <c r="A11" s="17" t="inlineStr">
        <is>
          <t>LS-EPIC-10</t>
        </is>
      </c>
      <c r="B11" s="4" t="inlineStr">
        <is>
          <t>Parent Controls, Settings and Privacy</t>
        </is>
      </c>
      <c r="C11" s="4" t="inlineStr">
        <is>
          <t>Settings hub, reminders, notifications, demo subscription, privacy, help</t>
        </is>
      </c>
      <c r="D11" s="4" t="inlineStr">
        <is>
          <t>P6</t>
        </is>
      </c>
      <c r="E11" s="4" t="inlineStr">
        <is>
          <t>Parent trust and control</t>
        </is>
      </c>
      <c r="F11" s="4">
        <f>COUNTIF(Backlog!$C$2:$C$300,A11)</f>
        <v/>
      </c>
      <c r="G11" s="4">
        <f>SUMIF(Backlog!$C$2:$C$300,A11,Backlog!$U$2:$U$300)</f>
        <v/>
      </c>
      <c r="H11" s="4">
        <f>COUNTIFS(Backlog!$C$2:$C$300,A11,Backlog!$AD$2:$AD$300,"Done")</f>
        <v/>
      </c>
      <c r="I11" s="23">
        <f>IF(G11=0,0,SUMIFS(Backlog!$U$2:$U$300,Backlog!$C$2:$C$300,A11,Backlog!$AD$2:$AD$300,"Done")/G11)</f>
        <v/>
      </c>
    </row>
    <row r="12" ht="18" customHeight="1">
      <c r="A12" s="17" t="inlineStr">
        <is>
          <t>LS-EPIC-11</t>
        </is>
      </c>
      <c r="B12" s="4" t="inlineStr">
        <is>
          <t>Testing and Visual Quality</t>
        </is>
      </c>
      <c r="C12" s="4" t="inlineStr">
        <is>
          <t>Unit/UI/E2E/screenshot/a11y/security reviews</t>
        </is>
      </c>
      <c r="D12" s="4" t="inlineStr">
        <is>
          <t>P7</t>
        </is>
      </c>
      <c r="E12" s="4" t="inlineStr">
        <is>
          <t>Release confidence</t>
        </is>
      </c>
      <c r="F12" s="4">
        <f>COUNTIF(Backlog!$C$2:$C$300,A12)</f>
        <v/>
      </c>
      <c r="G12" s="4">
        <f>SUMIF(Backlog!$C$2:$C$300,A12,Backlog!$U$2:$U$300)</f>
        <v/>
      </c>
      <c r="H12" s="4">
        <f>COUNTIFS(Backlog!$C$2:$C$300,A12,Backlog!$AD$2:$AD$300,"Done")</f>
        <v/>
      </c>
      <c r="I12" s="23">
        <f>IF(G12=0,0,SUMIFS(Backlog!$U$2:$U$300,Backlog!$C$2:$C$300,A12,Backlog!$AD$2:$AD$300,"Done")/G12)</f>
        <v/>
      </c>
    </row>
    <row r="13" ht="18" customHeight="1">
      <c r="A13" s="17" t="inlineStr">
        <is>
          <t>LS-EPIC-12</t>
        </is>
      </c>
      <c r="B13" s="4" t="inlineStr">
        <is>
          <t>CI/CD and Release Readiness</t>
        </is>
      </c>
      <c r="C13" s="4" t="inlineStr">
        <is>
          <t>Branching, CI, release docs</t>
        </is>
      </c>
      <c r="D13" s="4" t="inlineStr">
        <is>
          <t>P1–P8</t>
        </is>
      </c>
      <c r="E13" s="4" t="inlineStr">
        <is>
          <t>Repeatable delivery</t>
        </is>
      </c>
      <c r="F13" s="4">
        <f>COUNTIF(Backlog!$C$2:$C$300,A13)</f>
        <v/>
      </c>
      <c r="G13" s="4">
        <f>SUMIF(Backlog!$C$2:$C$300,A13,Backlog!$U$2:$U$300)</f>
        <v/>
      </c>
      <c r="H13" s="4">
        <f>COUNTIFS(Backlog!$C$2:$C$300,A13,Backlog!$AD$2:$AD$300,"Done")</f>
        <v/>
      </c>
      <c r="I13" s="23">
        <f>IF(G13=0,0,SUMIFS(Backlog!$U$2:$U$300,Backlog!$C$2:$C$300,A13,Backlog!$AD$2:$AD$300,"Done")/G13)</f>
        <v/>
      </c>
    </row>
    <row r="14" ht="18" customHeight="1">
      <c r="A14" s="17" t="inlineStr">
        <is>
          <t>LS-EPIC-13</t>
        </is>
      </c>
      <c r="B14" s="4" t="inlineStr">
        <is>
          <t>Future Backend Integration Planning</t>
        </is>
      </c>
      <c r="C14" s="4" t="inlineStr">
        <is>
          <t>Proposed API contracts, AI generation &amp; safety plan</t>
        </is>
      </c>
      <c r="D14" s="4" t="inlineStr">
        <is>
          <t>P8</t>
        </is>
      </c>
      <c r="E14" s="4" t="inlineStr">
        <is>
          <t>Future-proofing</t>
        </is>
      </c>
      <c r="F14" s="4">
        <f>COUNTIF(Backlog!$C$2:$C$300,A14)</f>
        <v/>
      </c>
      <c r="G14" s="4">
        <f>SUMIF(Backlog!$C$2:$C$300,A14,Backlog!$U$2:$U$300)</f>
        <v/>
      </c>
      <c r="H14" s="4">
        <f>COUNTIFS(Backlog!$C$2:$C$300,A14,Backlog!$AD$2:$AD$300,"Done")</f>
        <v/>
      </c>
      <c r="I14" s="23">
        <f>IF(G14=0,0,SUMIFS(Backlog!$U$2:$U$300,Backlog!$C$2:$C$300,A14,Backlog!$AD$2:$AD$300,"Done")/G14)</f>
        <v/>
      </c>
    </row>
    <row r="15" ht="31" customHeight="1">
      <c r="A15" s="17" t="inlineStr">
        <is>
          <t>LS-EPIC-14</t>
        </is>
      </c>
      <c r="B15" s="4" t="inlineStr">
        <is>
          <t>Localization (English, Kannada) and Future Languages</t>
        </is>
      </c>
      <c r="C15" s="4" t="inlineStr">
        <is>
          <t>EN/KN everywhere, registry-driven languages, CI checks, native review</t>
        </is>
      </c>
      <c r="D15" s="4" t="inlineStr">
        <is>
          <t>P2–P8</t>
        </is>
      </c>
      <c r="E15" s="4" t="inlineStr">
        <is>
          <t>Reach Kannada-speaking families</t>
        </is>
      </c>
      <c r="F15" s="4">
        <f>COUNTIF(Backlog!$C$2:$C$300,A15)</f>
        <v/>
      </c>
      <c r="G15" s="4">
        <f>SUMIF(Backlog!$C$2:$C$300,A15,Backlog!$U$2:$U$300)</f>
        <v/>
      </c>
      <c r="H15" s="4">
        <f>COUNTIFS(Backlog!$C$2:$C$300,A15,Backlog!$AD$2:$AD$300,"Done")</f>
        <v/>
      </c>
      <c r="I15" s="23">
        <f>IF(G15=0,0,SUMIFS(Backlog!$U$2:$U$300,Backlog!$C$2:$C$300,A15,Backlog!$AD$2:$AD$300,"Done")/G15)</f>
        <v/>
      </c>
    </row>
    <row r="16" ht="18" customHeight="1">
      <c r="A16" s="17" t="inlineStr">
        <is>
          <t>LS-EPIC-15</t>
        </is>
      </c>
      <c r="B16" s="4" t="inlineStr">
        <is>
          <t>Maintainability and Configuration</t>
        </is>
      </c>
      <c r="C16" s="4" t="inlineStr">
        <is>
          <t>No hardcoding, central config, how-to-change docs</t>
        </is>
      </c>
      <c r="D16" s="4" t="inlineStr">
        <is>
          <t>P2–P8</t>
        </is>
      </c>
      <c r="E16" s="4" t="inlineStr">
        <is>
          <t>Cheap future changes</t>
        </is>
      </c>
      <c r="F16" s="4">
        <f>COUNTIF(Backlog!$C$2:$C$300,A16)</f>
        <v/>
      </c>
      <c r="G16" s="4">
        <f>SUMIF(Backlog!$C$2:$C$300,A16,Backlog!$U$2:$U$300)</f>
        <v/>
      </c>
      <c r="H16" s="4">
        <f>COUNTIFS(Backlog!$C$2:$C$300,A16,Backlog!$AD$2:$AD$300,"Done")</f>
        <v/>
      </c>
      <c r="I16" s="23">
        <f>IF(G16=0,0,SUMIFS(Backlog!$U$2:$U$300,Backlog!$C$2:$C$300,A16,Backlog!$AD$2:$AD$300,"Done")/G16)</f>
        <v/>
      </c>
    </row>
  </sheetData>
  <autoFilter ref="A1:I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995F5"/>
    <outlinePr summaryBelow="1" summaryRight="1"/>
    <pageSetUpPr/>
  </sheetPr>
  <dimension ref="A1:J10"/>
  <sheetViews>
    <sheetView zoomScale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48" customWidth="1" min="3" max="3"/>
    <col width="48" customWidth="1" min="4" max="4"/>
    <col width="18" customWidth="1" min="5" max="5"/>
    <col width="22" customWidth="1" min="6" max="6"/>
    <col width="18" customWidth="1" min="7" max="7"/>
    <col width="9" customWidth="1" min="8" max="8"/>
    <col width="11" customWidth="1" min="9" max="9"/>
    <col width="8" customWidth="1" min="10" max="10"/>
  </cols>
  <sheetData>
    <row r="1" ht="32" customHeight="1">
      <c r="A1" s="20" t="inlineStr">
        <is>
          <t>Phase</t>
        </is>
      </c>
      <c r="B1" s="20" t="inlineStr">
        <is>
          <t>Name</t>
        </is>
      </c>
      <c r="C1" s="20" t="inlineStr">
        <is>
          <t>Goal</t>
        </is>
      </c>
      <c r="D1" s="20" t="inlineStr">
        <is>
          <t>Key Deliverables</t>
        </is>
      </c>
      <c r="E1" s="20" t="inlineStr">
        <is>
          <t>Entry Criteria</t>
        </is>
      </c>
      <c r="F1" s="20" t="inlineStr">
        <is>
          <t>Exit Criteria</t>
        </is>
      </c>
      <c r="G1" s="20" t="inlineStr">
        <is>
          <t>Approval Gate</t>
        </is>
      </c>
      <c r="H1" s="20" t="inlineStr">
        <is>
          <t>Tickets</t>
        </is>
      </c>
      <c r="I1" s="20" t="inlineStr">
        <is>
          <t>Story Points</t>
        </is>
      </c>
      <c r="J1" s="20" t="inlineStr">
        <is>
          <t>Done</t>
        </is>
      </c>
    </row>
    <row r="2" ht="31" customHeight="1">
      <c r="A2" s="17" t="inlineStr">
        <is>
          <t>P0</t>
        </is>
      </c>
      <c r="B2" s="4" t="inlineStr">
        <is>
          <t>Discovery</t>
        </is>
      </c>
      <c r="C2" s="4" t="inlineStr">
        <is>
          <t>Read-only repo, toolchain and design audit</t>
        </is>
      </c>
      <c r="D2" s="4" t="inlineStr">
        <is>
          <t>Discovery report; design inventory (done from design pack)</t>
        </is>
      </c>
      <c r="E2" s="4" t="inlineStr">
        <is>
          <t>Session start</t>
        </is>
      </c>
      <c r="F2" s="4" t="inlineStr">
        <is>
          <t>Report delivered</t>
        </is>
      </c>
      <c r="G2" s="4" t="inlineStr">
        <is>
          <t>Approval A</t>
        </is>
      </c>
      <c r="H2" s="4">
        <f>COUNTIF(Backlog!$J$2:$J$300,A2)</f>
        <v/>
      </c>
      <c r="I2" s="4">
        <f>SUMIF(Backlog!$J$2:$J$300,A2,Backlog!$U$2:$U$300)</f>
        <v/>
      </c>
      <c r="J2" s="4">
        <f>COUNTIFS(Backlog!$J$2:$J$300,A2,Backlog!$AD$2:$AD$300,"Done")</f>
        <v/>
      </c>
    </row>
    <row r="3" ht="31" customHeight="1">
      <c r="A3" s="17" t="inlineStr">
        <is>
          <t>P1</t>
        </is>
      </c>
      <c r="B3" s="4" t="inlineStr">
        <is>
          <t>Requirements &amp; planning</t>
        </is>
      </c>
      <c r="C3" s="4" t="inlineStr">
        <is>
          <t>Requirements, ADRs, backlog, prompts, agent instructions</t>
        </is>
      </c>
      <c r="D3" s="4" t="inlineStr">
        <is>
          <t>docs/, backlog workbook, prompts/, CLAUDE.md, copilot-instructions.md</t>
        </is>
      </c>
      <c r="E3" s="4" t="inlineStr">
        <is>
          <t>Approval A</t>
        </is>
      </c>
      <c r="F3" s="4" t="inlineStr">
        <is>
          <t>Docs approved</t>
        </is>
      </c>
      <c r="G3" s="4" t="inlineStr">
        <is>
          <t>Approval B</t>
        </is>
      </c>
      <c r="H3" s="4">
        <f>COUNTIF(Backlog!$J$2:$J$300,A3)</f>
        <v/>
      </c>
      <c r="I3" s="4">
        <f>SUMIF(Backlog!$J$2:$J$300,A3,Backlog!$U$2:$U$300)</f>
        <v/>
      </c>
      <c r="J3" s="4">
        <f>COUNTIFS(Backlog!$J$2:$J$300,A3,Backlog!$AD$2:$AD$300,"Done")</f>
        <v/>
      </c>
    </row>
    <row r="4" ht="31" customHeight="1">
      <c r="A4" s="17" t="inlineStr">
        <is>
          <t>P2</t>
        </is>
      </c>
      <c r="B4" s="4" t="inlineStr">
        <is>
          <t>Foundation, design system &amp; localization foundation</t>
        </is>
      </c>
      <c r="C4" s="4" t="inlineStr">
        <is>
          <t>Build, modules, tokens, components, l10n infra, mock data, CI</t>
        </is>
      </c>
      <c r="D4" s="4" t="inlineStr">
        <is>
          <t>Buildable app shell with tokens, components, EN/KN infra</t>
        </is>
      </c>
      <c r="E4" s="4" t="inlineStr">
        <is>
          <t>Approval C</t>
        </is>
      </c>
      <c r="F4" s="4" t="inlineStr">
        <is>
          <t>Build + tests + lint green</t>
        </is>
      </c>
      <c r="G4" s="4" t="inlineStr">
        <is>
          <t>Approval C per ticket</t>
        </is>
      </c>
      <c r="H4" s="4">
        <f>COUNTIF(Backlog!$J$2:$J$300,A4)</f>
        <v/>
      </c>
      <c r="I4" s="4">
        <f>SUMIF(Backlog!$J$2:$J$300,A4,Backlog!$U$2:$U$300)</f>
        <v/>
      </c>
      <c r="J4" s="4">
        <f>COUNTIFS(Backlog!$J$2:$J$300,A4,Backlog!$AD$2:$AD$300,"Done")</f>
        <v/>
      </c>
    </row>
    <row r="5" ht="31" customHeight="1">
      <c r="A5" s="17" t="inlineStr">
        <is>
          <t>P3</t>
        </is>
      </c>
      <c r="B5" s="4" t="inlineStr">
        <is>
          <t>App shell, navigation &amp; onboarding</t>
        </is>
      </c>
      <c r="C5" s="4" t="inlineStr">
        <is>
          <t>Nav graph, splash, onboarding, setup, profiles persistence</t>
        </is>
      </c>
      <c r="D5" s="4" t="inlineStr">
        <is>
          <t>First-run journey A working EN/KN</t>
        </is>
      </c>
      <c r="E5" s="4" t="inlineStr">
        <is>
          <t>P2 merged</t>
        </is>
      </c>
      <c r="F5" s="4" t="inlineStr">
        <is>
          <t>Journey A verified</t>
        </is>
      </c>
      <c r="G5" s="4" t="inlineStr">
        <is>
          <t>PR review</t>
        </is>
      </c>
      <c r="H5" s="4">
        <f>COUNTIF(Backlog!$J$2:$J$300,A5)</f>
        <v/>
      </c>
      <c r="I5" s="4">
        <f>SUMIF(Backlog!$J$2:$J$300,A5,Backlog!$U$2:$U$300)</f>
        <v/>
      </c>
      <c r="J5" s="4">
        <f>COUNTIFS(Backlog!$J$2:$J$300,A5,Backlog!$AD$2:$AD$300,"Done")</f>
        <v/>
      </c>
    </row>
    <row r="6" ht="31" customHeight="1">
      <c r="A6" s="17" t="inlineStr">
        <is>
          <t>P4</t>
        </is>
      </c>
      <c r="B6" s="4" t="inlineStr">
        <is>
          <t>Home, discovery &amp; creation</t>
        </is>
      </c>
      <c r="C6" s="4" t="inlineStr">
        <is>
          <t>Home, Discover, Category, Detail, Create, Generating, Ready</t>
        </is>
      </c>
      <c r="D6" s="4" t="inlineStr">
        <is>
          <t>Journeys B &amp; C working</t>
        </is>
      </c>
      <c r="E6" s="4" t="inlineStr">
        <is>
          <t>P3 merged</t>
        </is>
      </c>
      <c r="F6" s="4" t="inlineStr">
        <is>
          <t>Journeys B, C verified</t>
        </is>
      </c>
      <c r="G6" s="4" t="inlineStr">
        <is>
          <t>PR review</t>
        </is>
      </c>
      <c r="H6" s="4">
        <f>COUNTIF(Backlog!$J$2:$J$300,A6)</f>
        <v/>
      </c>
      <c r="I6" s="4">
        <f>SUMIF(Backlog!$J$2:$J$300,A6,Backlog!$U$2:$U$300)</f>
        <v/>
      </c>
      <c r="J6" s="4">
        <f>COUNTIFS(Backlog!$J$2:$J$300,A6,Backlog!$AD$2:$AD$300,"Done")</f>
        <v/>
      </c>
    </row>
    <row r="7" ht="31" customHeight="1">
      <c r="A7" s="17" t="inlineStr">
        <is>
          <t>P5</t>
        </is>
      </c>
      <c r="B7" s="4" t="inlineStr">
        <is>
          <t>Reader, player &amp; library</t>
        </is>
      </c>
      <c r="C7" s="4" t="inlineStr">
        <is>
          <t>Reader, simulated player, sleep timer, My Stories, progress</t>
        </is>
      </c>
      <c r="D7" s="4" t="inlineStr">
        <is>
          <t>Journeys D &amp; F working</t>
        </is>
      </c>
      <c r="E7" s="4" t="inlineStr">
        <is>
          <t>P4 contracts merged</t>
        </is>
      </c>
      <c r="F7" s="4" t="inlineStr">
        <is>
          <t>Journeys D, F verified</t>
        </is>
      </c>
      <c r="G7" s="4" t="inlineStr">
        <is>
          <t>PR review</t>
        </is>
      </c>
      <c r="H7" s="4">
        <f>COUNTIF(Backlog!$J$2:$J$300,A7)</f>
        <v/>
      </c>
      <c r="I7" s="4">
        <f>SUMIF(Backlog!$J$2:$J$300,A7,Backlog!$U$2:$U$300)</f>
        <v/>
      </c>
      <c r="J7" s="4">
        <f>COUNTIFS(Backlog!$J$2:$J$300,A7,Backlog!$AD$2:$AD$300,"Done")</f>
        <v/>
      </c>
    </row>
    <row r="8" ht="31" customHeight="1">
      <c r="A8" s="17" t="inlineStr">
        <is>
          <t>P6</t>
        </is>
      </c>
      <c r="B8" s="4" t="inlineStr">
        <is>
          <t>Parent &amp; supporting screens</t>
        </is>
      </c>
      <c r="C8" s="4" t="inlineStr">
        <is>
          <t>Settings hub, profiles, reminders, notifications, downloads, subscription, language prefs, privacy, help</t>
        </is>
      </c>
      <c r="D8" s="4" t="inlineStr">
        <is>
          <t>Journeys E &amp; G working</t>
        </is>
      </c>
      <c r="E8" s="4" t="inlineStr">
        <is>
          <t>P3 merged</t>
        </is>
      </c>
      <c r="F8" s="4" t="inlineStr">
        <is>
          <t>Journeys E, G verified</t>
        </is>
      </c>
      <c r="G8" s="4" t="inlineStr">
        <is>
          <t>PR review</t>
        </is>
      </c>
      <c r="H8" s="4">
        <f>COUNTIF(Backlog!$J$2:$J$300,A8)</f>
        <v/>
      </c>
      <c r="I8" s="4">
        <f>SUMIF(Backlog!$J$2:$J$300,A8,Backlog!$U$2:$U$300)</f>
        <v/>
      </c>
      <c r="J8" s="4">
        <f>COUNTIFS(Backlog!$J$2:$J$300,A8,Backlog!$AD$2:$AD$300,"Done")</f>
        <v/>
      </c>
    </row>
    <row r="9" ht="31" customHeight="1">
      <c r="A9" s="17" t="inlineStr">
        <is>
          <t>P7</t>
        </is>
      </c>
      <c r="B9" s="4" t="inlineStr">
        <is>
          <t>Quality hardening</t>
        </is>
      </c>
      <c r="C9" s="4" t="inlineStr">
        <is>
          <t>E2E, screenshots EN/KN, a11y, security, maintainability, native Kannada review</t>
        </is>
      </c>
      <c r="D9" s="4" t="inlineStr">
        <is>
          <t>Evidence pack; defects fixed</t>
        </is>
      </c>
      <c r="E9" s="4" t="inlineStr">
        <is>
          <t>P3–P6 merged</t>
        </is>
      </c>
      <c r="F9" s="4" t="inlineStr">
        <is>
          <t>All Must tests pass</t>
        </is>
      </c>
      <c r="G9" s="4" t="inlineStr">
        <is>
          <t>PR review</t>
        </is>
      </c>
      <c r="H9" s="4">
        <f>COUNTIF(Backlog!$J$2:$J$300,A9)</f>
        <v/>
      </c>
      <c r="I9" s="4">
        <f>SUMIF(Backlog!$J$2:$J$300,A9,Backlog!$U$2:$U$300)</f>
        <v/>
      </c>
      <c r="J9" s="4">
        <f>COUNTIFS(Backlog!$J$2:$J$300,A9,Backlog!$AD$2:$AD$300,"Done")</f>
        <v/>
      </c>
    </row>
    <row r="10" ht="18" customHeight="1">
      <c r="A10" s="17" t="inlineStr">
        <is>
          <t>P8</t>
        </is>
      </c>
      <c r="B10" s="4" t="inlineStr">
        <is>
          <t>Release readiness</t>
        </is>
      </c>
      <c r="C10" s="4" t="inlineStr">
        <is>
          <t>CI stable, release docs, backend plan, readiness report</t>
        </is>
      </c>
      <c r="D10" s="4" t="inlineStr">
        <is>
          <t>Release-readiness report</t>
        </is>
      </c>
      <c r="E10" s="4" t="inlineStr">
        <is>
          <t>P7 done</t>
        </is>
      </c>
      <c r="F10" s="4" t="inlineStr">
        <is>
          <t>Owner sign-off</t>
        </is>
      </c>
      <c r="G10" s="4" t="inlineStr">
        <is>
          <t>Approval F</t>
        </is>
      </c>
      <c r="H10" s="4">
        <f>COUNTIF(Backlog!$J$2:$J$300,A10)</f>
        <v/>
      </c>
      <c r="I10" s="4">
        <f>SUMIF(Backlog!$J$2:$J$300,A10,Backlog!$U$2:$U$300)</f>
        <v/>
      </c>
      <c r="J10" s="4">
        <f>COUNTIFS(Backlog!$J$2:$J$300,A10,Backlog!$AD$2:$AD$300,"Done")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9AD"/>
    <outlinePr summaryBelow="1" summaryRight="1"/>
    <pageSetUpPr/>
  </sheetPr>
  <dimension ref="A1:S26"/>
  <sheetViews>
    <sheetView zoomScale="10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22" customWidth="1" min="3" max="3"/>
    <col width="22" customWidth="1" min="4" max="4"/>
    <col width="26" customWidth="1" min="5" max="5"/>
    <col width="60" customWidth="1" min="6" max="6"/>
    <col width="22" customWidth="1" min="7" max="7"/>
    <col width="24" customWidth="1" min="8" max="8"/>
    <col width="40" customWidth="1" min="9" max="9"/>
    <col width="26" customWidth="1" min="10" max="10"/>
    <col width="26" customWidth="1" min="11" max="11"/>
    <col width="28" customWidth="1" min="12" max="12"/>
    <col width="28" customWidth="1" min="13" max="13"/>
    <col width="14" customWidth="1" min="14" max="14"/>
    <col width="18" customWidth="1" min="15" max="15"/>
    <col width="15" customWidth="1" min="16" max="16"/>
    <col width="14" customWidth="1" min="17" max="17"/>
    <col width="12" customWidth="1" min="18" max="18"/>
    <col width="30" customWidth="1" min="19" max="19"/>
  </cols>
  <sheetData>
    <row r="1" ht="32" customHeight="1">
      <c r="A1" s="20" t="inlineStr">
        <is>
          <t>Design Preview</t>
        </is>
      </c>
      <c r="B1" s="20" t="inlineStr">
        <is>
          <t>Screen ID</t>
        </is>
      </c>
      <c r="C1" s="20" t="inlineStr">
        <is>
          <t>Screen Name</t>
        </is>
      </c>
      <c r="D1" s="20" t="inlineStr">
        <is>
          <t>Figma Source (Make screen)</t>
        </is>
      </c>
      <c r="E1" s="20" t="inlineStr">
        <is>
          <t>Screenshot File(s)</t>
        </is>
      </c>
      <c r="F1" s="20" t="inlineStr">
        <is>
          <t>Design Details</t>
        </is>
      </c>
      <c r="G1" s="20" t="inlineStr">
        <is>
          <t>Main Entry Point</t>
        </is>
      </c>
      <c r="H1" s="20" t="inlineStr">
        <is>
          <t>Exit Paths</t>
        </is>
      </c>
      <c r="I1" s="20" t="inlineStr">
        <is>
          <t>Components</t>
        </is>
      </c>
      <c r="J1" s="20" t="inlineStr">
        <is>
          <t>States</t>
        </is>
      </c>
      <c r="K1" s="20" t="inlineStr">
        <is>
          <t>Data Requirements</t>
        </is>
      </c>
      <c r="L1" s="20" t="inlineStr">
        <is>
          <t>Accessibility Notes</t>
        </is>
      </c>
      <c r="M1" s="20" t="inlineStr">
        <is>
          <t>Localization Notes</t>
        </is>
      </c>
      <c r="N1" s="20" t="inlineStr">
        <is>
          <t>Screenshot Test Required</t>
        </is>
      </c>
      <c r="O1" s="20" t="inlineStr">
        <is>
          <t>Related Ticket Keys</t>
        </is>
      </c>
      <c r="P1" s="20" t="inlineStr">
        <is>
          <t>Design Status</t>
        </is>
      </c>
      <c r="Q1" s="20" t="inlineStr">
        <is>
          <t>Implementation Status</t>
        </is>
      </c>
      <c r="R1" s="20" t="inlineStr">
        <is>
          <t>Review Status</t>
        </is>
      </c>
      <c r="S1" s="20" t="inlineStr">
        <is>
          <t>Open Questions</t>
        </is>
      </c>
    </row>
    <row r="2" ht="281" customHeight="1">
      <c r="B2" s="17" t="inlineStr">
        <is>
          <t>SCR-01</t>
        </is>
      </c>
      <c r="C2" s="4" t="inlineStr">
        <is>
          <t>Onboarding (3 slides)</t>
        </is>
      </c>
      <c r="D2" s="5" t="inlineStr">
        <is>
          <t>Figma Make · Mobile App UI Prototype · screen 'onboarding'</t>
        </is>
      </c>
      <c r="E2" s="5" t="inlineStr">
        <is>
          <t>01-onboarding-1-every-day-has-a-story.jpg
02-onboarding-2-your-child-the-hero.jpg
03-onboarding-3-listen-dream-repeat.jpg</t>
        </is>
      </c>
      <c r="F2" s="4" t="inlineStr">
        <is>
          <t>Night canvas #17152F. Sheet: eyebrow 'LITTLE STORIES. BIG IMAGINATION.' → title 29/1.12 Manrope → body 15/1.55 muted → pager (active dot 24px, others 7px) → button. Slide 1 'Every Day Has a Story'; 2 'Your Child, the Hero'; 3 'Listen, Dream, Repeat' (button 'Get Started'). Scene identical on all slides. No swipe and no back control in prototype.</t>
        </is>
      </c>
      <c r="G2" s="4" t="inlineStr">
        <is>
          <t>First launch</t>
        </is>
      </c>
      <c r="H2" s="4" t="inlineStr">
        <is>
          <t>Setup (Continue on slide 3 / Get Started / Skip)</t>
        </is>
      </c>
      <c r="I2" s="4" t="inlineStr">
        <is>
          <t>Brand mark (light), Skip text button, night scene illustration (moon, clouds, twinkling stars, child reading), cream bottom sheet 32dp top radius, eyebrow, title, body, pager dots, primary button</t>
        </is>
      </c>
      <c r="J2" s="4" t="inlineStr">
        <is>
          <t>Slide 1, Slide 2, Slide 3</t>
        </is>
      </c>
      <c r="K2" s="4" t="inlineStr">
        <is>
          <t>Static copy only</t>
        </is>
      </c>
      <c r="L2" s="4" t="inlineStr">
        <is>
          <t>Pager must announce 'slide n of 3'; twinkle animation must respect reduced motion; Skip ≥48dp</t>
        </is>
      </c>
      <c r="M2" s="4" t="inlineStr">
        <is>
          <t>3 titles/bodies; body min-height 70px may grow in Kannada</t>
        </is>
      </c>
      <c r="N2" s="4" t="inlineStr">
        <is>
          <t>EN + KN</t>
        </is>
      </c>
      <c r="O2" s="4" t="inlineStr">
        <is>
          <t>LS-014, LS-060</t>
        </is>
      </c>
      <c r="P2" s="4" t="inlineStr">
        <is>
          <t>Design Ready</t>
        </is>
      </c>
      <c r="Q2" s="4" t="inlineStr">
        <is>
          <t>Not started</t>
        </is>
      </c>
      <c r="R2" s="4" t="inlineStr">
        <is>
          <t>Not reviewed</t>
        </is>
      </c>
      <c r="S2" s="4" t="inlineStr">
        <is>
          <t>Should slides support swipe and back? (not in prototype)</t>
        </is>
      </c>
    </row>
    <row r="3" ht="281" customHeight="1">
      <c r="B3" s="17" t="inlineStr">
        <is>
          <t>SCR-02</t>
        </is>
      </c>
      <c r="C3" s="4" t="inlineStr">
        <is>
          <t>Setup – Child profile</t>
        </is>
      </c>
      <c r="D3" s="5" t="inlineStr">
        <is>
          <t>Figma Make · Mobile App UI Prototype · screen 'setup'</t>
        </is>
      </c>
      <c r="E3" s="5" t="inlineStr">
        <is>
          <t>04-setup-profile.jpg</t>
        </is>
      </c>
      <c r="F3" s="4" t="inlineStr">
        <is>
          <t>Badge 'Private &amp; parent-managed' (green). Title 'Let’s make stories feel like home.' Fields: Parent name (Meera), Child’s name (Aarav), avatar row (3 faces + dashed +), Age 3–12 (6), Language (English), interests Animals/Cricket/Adventure/Space/Nature/Music (3 preselected, 'Optional'), duration 5/10/15 min (10). CTA 'Create {child}’s profile'.</t>
        </is>
      </c>
      <c r="G3" s="4" t="inlineStr">
        <is>
          <t>Onboarding; Child Profiles (Add/Edit); Profile → Account settings</t>
        </is>
      </c>
      <c r="H3" s="4" t="inlineStr">
        <is>
          <t>Home (CTA or 'Skip for now')</t>
        </is>
      </c>
      <c r="I3" s="4" t="inlineStr">
        <is>
          <t>TopBar with brand + 'Skip for now', trust badge, form card (text fields, avatar picker, age select, language select, interest chips multi-select, segmented duration), sticky CTA</t>
        </is>
      </c>
      <c r="J3" s="4" t="inlineStr">
        <is>
          <t>Default, editing, validation (name required – decision), saving</t>
        </is>
      </c>
      <c r="K3" s="4" t="inlineStr">
        <is>
          <t>ChildProfile (parent name, child name, avatar, age 3–12, language, interests, default duration)</t>
        </is>
      </c>
      <c r="L3" s="4" t="inlineStr">
        <is>
          <t>Labels bound to fields; chips expose selected state; select fields operable by TalkBack</t>
        </is>
      </c>
      <c r="M3" s="4" t="inlineStr">
        <is>
          <t>Language list must come from SupportedLanguage registry (EN, ಕನ್ನಡ) – design shows 7 languages</t>
        </is>
      </c>
      <c r="N3" s="4" t="inlineStr">
        <is>
          <t>EN + KN</t>
        </is>
      </c>
      <c r="O3" s="4" t="inlineStr">
        <is>
          <t>LS-016, LS-045, LS-061, LS-062</t>
        </is>
      </c>
      <c r="P3" s="4" t="inlineStr">
        <is>
          <t>Design Ready</t>
        </is>
      </c>
      <c r="Q3" s="4" t="inlineStr">
        <is>
          <t>Not started</t>
        </is>
      </c>
      <c r="R3" s="4" t="inlineStr">
        <is>
          <t>Not reviewed</t>
        </is>
      </c>
      <c r="S3" s="4" t="inlineStr">
        <is>
          <t>Is parent name needed (data minimisation)? Required-field rules? Avatar '+' behaviour?</t>
        </is>
      </c>
    </row>
    <row r="4" ht="281" customHeight="1">
      <c r="B4" s="17" t="inlineStr">
        <is>
          <t>SCR-03</t>
        </is>
      </c>
      <c r="C4" s="4" t="inlineStr">
        <is>
          <t>Home</t>
        </is>
      </c>
      <c r="D4" s="5" t="inlineStr">
        <is>
          <t>Figma Make · Mobile App UI Prototype · screen 'home'</t>
        </is>
      </c>
      <c r="E4" s="5" t="inlineStr">
        <is>
          <t>05-home.jpg</t>
        </is>
      </c>
      <c r="F4" s="4" t="inlineStr">
        <is>
          <t>Header 'Good evening' 12sp muted / 'Stories for Aarav' 21sp. Hero #35256F radius 26: kicker 'TONIGHT’S ADVENTURE', 'Tonight, anything is possible.', body, '+ Create a Story'. Continue card: '8 MIN · 42% COMPLETE', progress lavender, 'Resume story'. Categories: Bedtime, Animals, Adventure, Friendship, Indian Tales (pastel tiles). Culture banner #F5DFC0 'ROOTED IN WONDER / Stories from every corner of India'.</t>
        </is>
      </c>
      <c r="G4" s="4" t="inlineStr">
        <is>
          <t>Setup; bottom nav</t>
        </is>
      </c>
      <c r="H4" s="4" t="inlineStr">
        <is>
          <t>Notifications, Child Profiles, Create, Player, Discover, Category, Story Detail</t>
        </is>
      </c>
      <c r="I4" s="4" t="inlineStr">
        <is>
          <t>Greeting header + bell + avatar, indigo hero card with illustration and white button, SectionHeader, ContinueCard, category tiles row, StoryCard row with heart toggle, culture banner, BottomNav</t>
        </is>
      </c>
      <c r="J4" s="4" t="inlineStr">
        <is>
          <t>Populated; no continue-listening item (decision); empty 'Made for' (decision)</t>
        </is>
      </c>
      <c r="K4" s="4" t="inlineStr">
        <is>
          <t>Active child, recently played + progress, categories, recommended stories, favourites</t>
        </is>
      </c>
      <c r="L4" s="4" t="inlineStr">
        <is>
          <t>Hero image decorative; story cards announce title, category, duration, favourite state</t>
        </is>
      </c>
      <c r="M4" s="4" t="inlineStr">
        <is>
          <t>'Stories for {child}', 'Made for {child}' – name inside string must use format args</t>
        </is>
      </c>
      <c r="N4" s="4" t="inlineStr">
        <is>
          <t>EN + KN</t>
        </is>
      </c>
      <c r="O4" s="4" t="inlineStr">
        <is>
          <t>LS-014, LS-018, LS-070, LS-091</t>
        </is>
      </c>
      <c r="P4" s="4" t="inlineStr">
        <is>
          <t>Design Ready</t>
        </is>
      </c>
      <c r="Q4" s="4" t="inlineStr">
        <is>
          <t>Not started</t>
        </is>
      </c>
      <c r="R4" s="4" t="inlineStr">
        <is>
          <t>Not reviewed</t>
        </is>
      </c>
      <c r="S4" s="4" t="inlineStr">
        <is>
          <t>Greeting only shows 'Good evening' – time-of-day logic? Empty states for new user not designed</t>
        </is>
      </c>
    </row>
    <row r="5" ht="281" customHeight="1">
      <c r="B5" s="17" t="inlineStr">
        <is>
          <t>SCR-04a</t>
        </is>
      </c>
      <c r="C5" s="4" t="inlineStr">
        <is>
          <t>Discover</t>
        </is>
      </c>
      <c r="D5" s="5" t="inlineStr">
        <is>
          <t>Figma Make · Mobile App UI Prototype · screen 'discover'</t>
        </is>
      </c>
      <c r="E5" s="5" t="inlineStr">
        <is>
          <t>06-discover.jpg</t>
        </is>
      </c>
      <c r="F5" s="4" t="inlineStr">
        <is>
          <t>Search placeholder 'Search stories, themes, or characters'. Featured #242044: 'FEATURED THIS WEEK', 'The Little Elephant Who Shared', 'Listen now ▷'. Chips: All, Animals, Adventure, Friendship, Kindness, Nature, Space, Science, Panchatantra, Indian Folk Tales, Festivals, Learning. Sections 'Popular right now' (+View all) and 'Bedtime favourites'.</t>
        </is>
      </c>
      <c r="G5" s="4" t="inlineStr">
        <is>
          <t>Bottom nav; Home 'See all'</t>
        </is>
      </c>
      <c r="H5" s="4" t="inlineStr">
        <is>
          <t>Story Detail, Category, Notifications</t>
        </is>
      </c>
      <c r="I5" s="4" t="inlineStr">
        <is>
          <t>TopBar brand+title+bell, search field with clear, dark featured card, horizontal filter chips, 2-column grid, horizontal row</t>
        </is>
      </c>
      <c r="J5" s="4" t="inlineStr">
        <is>
          <t>Default, searching (featured hidden, title 'Results for …'), filtered by chip</t>
        </is>
      </c>
      <c r="K5" s="4" t="inlineStr">
        <is>
          <t>Catalog, categories, favourites</t>
        </is>
      </c>
      <c r="L5" s="4" t="inlineStr">
        <is>
          <t>Search field labelled; chip selection announced</t>
        </is>
      </c>
      <c r="M5" s="4" t="inlineStr">
        <is>
          <t>Search must work for Kannada titles (locale-aware lowercase/contains)</t>
        </is>
      </c>
      <c r="N5" s="4" t="inlineStr">
        <is>
          <t>EN + KN</t>
        </is>
      </c>
      <c r="O5" s="4" t="inlineStr">
        <is>
          <t>LS-014, LS-016, LS-018, LS-071</t>
        </is>
      </c>
      <c r="P5" s="4" t="inlineStr">
        <is>
          <t>Design Ready</t>
        </is>
      </c>
      <c r="Q5" s="4" t="inlineStr">
        <is>
          <t>Not started</t>
        </is>
      </c>
      <c r="R5" s="4" t="inlineStr">
        <is>
          <t>Not reviewed</t>
        </is>
      </c>
      <c r="S5" s="4" t="inlineStr">
        <is>
          <t>Featured card 'Listen now' goes to Detail in prototype – should it open Player?</t>
        </is>
      </c>
    </row>
    <row r="6" ht="281" customHeight="1">
      <c r="B6" s="17" t="inlineStr">
        <is>
          <t>SCR-04b</t>
        </is>
      </c>
      <c r="C6" s="4" t="inlineStr">
        <is>
          <t>Discover – No results (empty state)</t>
        </is>
      </c>
      <c r="D6" s="5" t="inlineStr">
        <is>
          <t>Figma Make · Mobile App UI Prototype · screen 'discover (empty)'</t>
        </is>
      </c>
      <c r="E6" s="5" t="inlineStr">
        <is>
          <t>06-discover.jpg</t>
        </is>
      </c>
      <c r="F6" s="4" t="inlineStr">
        <is>
          <t>'No stories found' / 'Try a different title or explore one of our story collections.' / 'Clear search' (resets query and chip to All). Described in design spec; not separately captured as screenshot.</t>
        </is>
      </c>
      <c r="G6" s="4" t="inlineStr">
        <is>
          <t>Search with no match</t>
        </is>
      </c>
      <c r="H6" s="4" t="inlineStr">
        <is>
          <t>Clear search → Discover default</t>
        </is>
      </c>
      <c r="I6" s="4" t="inlineStr">
        <is>
          <t>Empty state (icon tile, title, body, secondary button)</t>
        </is>
      </c>
      <c r="J6" s="4" t="inlineStr">
        <is>
          <t>Empty</t>
        </is>
      </c>
      <c r="K6" s="4" t="inlineStr">
        <is>
          <t>None</t>
        </is>
      </c>
      <c r="L6" s="4" t="inlineStr">
        <is>
          <t>Empty state title announced as heading</t>
        </is>
      </c>
      <c r="M6" s="4" t="inlineStr">
        <is>
          <t>–</t>
        </is>
      </c>
      <c r="N6" s="4" t="inlineStr">
        <is>
          <t>EN + KN</t>
        </is>
      </c>
      <c r="O6" s="4" t="inlineStr">
        <is>
          <t>LS-017, LS-072</t>
        </is>
      </c>
      <c r="P6" s="4" t="inlineStr">
        <is>
          <t>Design Ready (spec only)</t>
        </is>
      </c>
      <c r="Q6" s="4" t="inlineStr">
        <is>
          <t>Not started</t>
        </is>
      </c>
      <c r="R6" s="4" t="inlineStr">
        <is>
          <t>Not reviewed</t>
        </is>
      </c>
      <c r="S6" s="4" t="inlineStr">
        <is>
          <t>No separate screenshot – confirm visual</t>
        </is>
      </c>
    </row>
    <row r="7" ht="281" customHeight="1">
      <c r="B7" s="17" t="inlineStr">
        <is>
          <t>SCR-05</t>
        </is>
      </c>
      <c r="C7" s="4" t="inlineStr">
        <is>
          <t>Category (Indian Tales)</t>
        </is>
      </c>
      <c r="D7" s="5" t="inlineStr">
        <is>
          <t>Figma Make · Mobile App UI Prototype · screen 'category'</t>
        </is>
      </c>
      <c r="E7" s="5" t="inlineStr">
        <is>
          <t>21-category-indian-tales.jpg</t>
        </is>
      </c>
      <c r="F7" s="4" t="inlineStr">
        <is>
          <t>Hero 220px indigo: '18 STORIES', 'Indian Tales', description. 'Stories for curious minds' + sort pill. Rows: art 78×91, eyebrow category, title, 'Ages 4–7 · 6 min', green 'Available offline', heart.</t>
        </is>
      </c>
      <c r="G7" s="4" t="inlineStr">
        <is>
          <t>Home category tile / culture banner; Discover 'View all'</t>
        </is>
      </c>
      <c r="H7" s="4" t="inlineStr">
        <is>
          <t>Story Detail; back → Discover</t>
        </is>
      </c>
      <c r="I7" s="4" t="inlineStr">
        <is>
          <t>TopBar with back + title, indigo category hero with arch illustration, sort select, ListStoryRow with heart</t>
        </is>
      </c>
      <c r="J7" s="4" t="inlineStr">
        <is>
          <t>Populated; sort Recommended/Shortest first/Newest</t>
        </is>
      </c>
      <c r="K7" s="4" t="inlineStr">
        <is>
          <t>Category, stories in category, downloaded flag, favourites</t>
        </is>
      </c>
      <c r="L7" s="4" t="inlineStr">
        <is>
          <t>Sort control labelled; rows announce offline availability</t>
        </is>
      </c>
      <c r="M7" s="4" t="inlineStr">
        <is>
          <t>'{n} stories' needs plurals</t>
        </is>
      </c>
      <c r="N7" s="4" t="inlineStr">
        <is>
          <t>EN + KN</t>
        </is>
      </c>
      <c r="O7" s="4" t="inlineStr">
        <is>
          <t>LS-018, LS-073</t>
        </is>
      </c>
      <c r="P7" s="4" t="inlineStr">
        <is>
          <t>Design Ready</t>
        </is>
      </c>
      <c r="Q7" s="4" t="inlineStr">
        <is>
          <t>Not started</t>
        </is>
      </c>
      <c r="R7" s="4" t="inlineStr">
        <is>
          <t>Not reviewed</t>
        </is>
      </c>
      <c r="S7" s="4" t="inlineStr">
        <is>
          <t>Prototype hard-codes Indian Tales – generic per category? Hero art per category?</t>
        </is>
      </c>
    </row>
    <row r="8" ht="281" customHeight="1">
      <c r="B8" s="17" t="inlineStr">
        <is>
          <t>SCR-06</t>
        </is>
      </c>
      <c r="C8" s="4" t="inlineStr">
        <is>
          <t>Story Detail</t>
        </is>
      </c>
      <c r="D8" s="5" t="inlineStr">
        <is>
          <t>Figma Make · Mobile App UI Prototype · screen 'detail'</t>
        </is>
      </c>
      <c r="E8" s="5" t="inlineStr">
        <is>
          <t>22-story-detail.jpg</t>
        </is>
      </c>
      <c r="F8" s="4" t="inlineStr">
        <is>
          <t>Cover 355px. Pill category, title 27sp, metadata Ages 4–7 · 6 min · EN, synopsis 14/1.65, lesson panel #FFF4E8 with peach tile, 'Narrated story – Warm, expressive voice · English – ✓ Available'. Sticky: 'Listen to Story' (primary) + 'Read Story' (secondary).</t>
        </is>
      </c>
      <c r="G8" s="4" t="inlineStr">
        <is>
          <t>Story cards/rows anywhere</t>
        </is>
      </c>
      <c r="H8" s="4" t="inlineStr">
        <is>
          <t>Player (Listen), Reader (Read), back</t>
        </is>
      </c>
      <c r="I8" s="4" t="inlineStr">
        <is>
          <t>Full-bleed cover with floating back/favourite/download, white body sheet, pill, metadata row, synopsis, 'A little lesson' panel, narration row, sticky dual CTA</t>
        </is>
      </c>
      <c r="J8" s="4" t="inlineStr">
        <is>
          <t>Favourite on/off, downloaded on/off</t>
        </is>
      </c>
      <c r="K8" s="4" t="inlineStr">
        <is>
          <t>Story (title, category, ages, minutes, language, synopsis, lesson, narration)</t>
        </is>
      </c>
      <c r="L8" s="4" t="inlineStr">
        <is>
          <t>Cover decorative; metadata read as one phrase</t>
        </is>
      </c>
      <c r="M8" s="4" t="inlineStr">
        <is>
          <t>Language tag 'EN' must reflect story language (EN/ಕನ್ನಡ)</t>
        </is>
      </c>
      <c r="N8" s="4" t="inlineStr">
        <is>
          <t>EN + KN</t>
        </is>
      </c>
      <c r="O8" s="4" t="inlineStr">
        <is>
          <t>LS-018, LS-044, LS-074</t>
        </is>
      </c>
      <c r="P8" s="4" t="inlineStr">
        <is>
          <t>Design Ready</t>
        </is>
      </c>
      <c r="Q8" s="4" t="inlineStr">
        <is>
          <t>Not started</t>
        </is>
      </c>
      <c r="R8" s="4" t="inlineStr">
        <is>
          <t>Not reviewed</t>
        </is>
      </c>
      <c r="S8" s="4" t="inlineStr">
        <is>
          <t>–</t>
        </is>
      </c>
    </row>
    <row r="9" ht="281" customHeight="1">
      <c r="B9" s="17" t="inlineStr">
        <is>
          <t>SCR-07</t>
        </is>
      </c>
      <c r="C9" s="4" t="inlineStr">
        <is>
          <t>Create a Story</t>
        </is>
      </c>
      <c r="D9" s="5" t="inlineStr">
        <is>
          <t>Figma Make · Mobile App UI Prototype · screen 'create'</t>
        </is>
      </c>
      <c r="E9" s="5" t="inlineStr">
        <is>
          <t>07-create-story.jpg
08-create-story-more-options-and-error.jpg</t>
        </is>
      </c>
      <c r="F9" s="4" t="inlineStr">
        <is>
          <t>Textarea label 'What happened today?', counter n/500. Suggestions: A day at school, A family adventure, Something funny happened, I learned something new, An act of kindness. Hero select (Aarav, Ananya). Themes: Adventure*, Bedtime, Animals, Friendship, Fantasy, Learning, Indian folklore. More options: Mood Calm/Funny/Magical*/Adventurous; Duration 5/8*/10/15 minutes; Story language. Error 'Tell us one little moment to begin the story.' CTA 'Create My Story ✦'.</t>
        </is>
      </c>
      <c r="G9" s="4" t="inlineStr">
        <is>
          <t>Home hero CTA; bottom nav Create</t>
        </is>
      </c>
      <c r="H9" s="4" t="inlineStr">
        <is>
          <t>Generating (valid submit)</t>
        </is>
      </c>
      <c r="I9" s="4" t="inlineStr">
        <is>
          <t>TopBar title + 'Parent guided' label, intro orb, textarea with counter, suggestion chips, story-hero selector, theme chips, collapsible 'More options' (mood, duration, story language), safety note, primary CTA, error banner</t>
        </is>
      </c>
      <c r="J9" s="4" t="inlineStr">
        <is>
          <t>Default, more options expanded, validation error, typing clears error</t>
        </is>
      </c>
      <c r="K9" s="4" t="inlineStr">
        <is>
          <t>Child profiles, StoryCreationRequest</t>
        </is>
      </c>
      <c r="L9" s="4" t="inlineStr">
        <is>
          <t>Error must be announced (live region); counter readable; chips single-select semantics</t>
        </is>
      </c>
      <c r="M9" s="4" t="inlineStr">
        <is>
          <t>Placeholder is gendered ('helped his friend') – needs neutral, translatable copy; counter uses format args</t>
        </is>
      </c>
      <c r="N9" s="4" t="inlineStr">
        <is>
          <t>EN + KN</t>
        </is>
      </c>
      <c r="O9" s="4" t="inlineStr">
        <is>
          <t>LS-016, LS-080, LS-081</t>
        </is>
      </c>
      <c r="P9" s="4" t="inlineStr">
        <is>
          <t>Design Ready</t>
        </is>
      </c>
      <c r="Q9" s="4" t="inlineStr">
        <is>
          <t>Not started</t>
        </is>
      </c>
      <c r="R9" s="4" t="inlineStr">
        <is>
          <t>Not reviewed</t>
        </is>
      </c>
      <c r="S9" s="4" t="inlineStr">
        <is>
          <t>Story language list must be EN/KN only; gendered placeholder copy</t>
        </is>
      </c>
    </row>
    <row r="10" ht="227.75" customHeight="1">
      <c r="B10" s="17" t="inlineStr">
        <is>
          <t>SCR-08</t>
        </is>
      </c>
      <c r="C10" s="4" t="inlineStr">
        <is>
          <t>Generating + Paused</t>
        </is>
      </c>
      <c r="D10" s="5" t="inlineStr">
        <is>
          <t>Figma Make · Mobile App UI Prototype · screen 'generating'</t>
        </is>
      </c>
      <c r="E10" s="5" t="inlineStr">
        <is>
          <t>09-generating.jpg</t>
        </is>
      </c>
      <c r="F10" s="4" t="inlineStr">
        <is>
          <t>Eyebrow 'A STORY FOR AARAV', 'Creating your little adventure…', 'We’re weaving today’s moments into something wonderful.' Bar lavender→yellow. Stages: Imagining the adventure / Writing the story / Preparing the narration. Footnote 'This usually takes less than a minute.' Paused: 'Story creation paused', 'Your idea is still here. Continue whenever you’re ready.', Try again / Back to your idea. Prototype: +4% every 120ms.</t>
        </is>
      </c>
      <c r="G10" s="4" t="inlineStr">
        <is>
          <t>Create submit</t>
        </is>
      </c>
      <c r="H10" s="4" t="inlineStr">
        <is>
          <t>Story Ready (auto at 100%); Paused → Try again / Back to your idea</t>
        </is>
      </c>
      <c r="I10" s="4" t="inlineStr">
        <is>
          <t>Night gradient, close button, twinkling stars, magic book, eyebrow, title, gradient progress bar + %, 3-stage list, footnote; paused state with icon + 2 buttons</t>
        </is>
      </c>
      <c r="J10" s="4" t="inlineStr">
        <is>
          <t>Progress (stages &lt;38% / &lt;76% / ≥76%), paused (cancelled)</t>
        </is>
      </c>
      <c r="K10" s="4" t="inlineStr">
        <is>
          <t>Simulated generation job</t>
        </is>
      </c>
      <c r="L10" s="4" t="inlineStr">
        <is>
          <t>Progress announced politely (not every tick); close button labelled; reduced motion</t>
        </is>
      </c>
      <c r="M10" s="4" t="inlineStr">
        <is>
          <t>'A story for {CHILD}' uppercase via style, not string</t>
        </is>
      </c>
      <c r="N10" s="4" t="inlineStr">
        <is>
          <t>EN + KN</t>
        </is>
      </c>
      <c r="O10" s="4" t="inlineStr">
        <is>
          <t>LS-017, LS-082, LS-083</t>
        </is>
      </c>
      <c r="P10" s="4" t="inlineStr">
        <is>
          <t>Design Ready</t>
        </is>
      </c>
      <c r="Q10" s="4" t="inlineStr">
        <is>
          <t>Not started</t>
        </is>
      </c>
      <c r="R10" s="4" t="inlineStr">
        <is>
          <t>Not reviewed</t>
        </is>
      </c>
      <c r="S10" s="4" t="inlineStr">
        <is>
          <t>Paused state not captured as screenshot</t>
        </is>
      </c>
    </row>
    <row r="11" ht="281" customHeight="1">
      <c r="B11" s="17" t="inlineStr">
        <is>
          <t>SCR-09</t>
        </is>
      </c>
      <c r="C11" s="4" t="inlineStr">
        <is>
          <t>Story Ready</t>
        </is>
      </c>
      <c r="D11" s="5" t="inlineStr">
        <is>
          <t>Figma Make · Mobile App UI Prototype · screen 'generated'</t>
        </is>
      </c>
      <c r="E11" s="5" t="inlineStr">
        <is>
          <t>10-story-ready.jpg</t>
        </is>
      </c>
      <c r="F11" s="4" t="inlineStr">
        <is>
          <t>Ribbon #E9F6EE '✓ Your story is ready'. Cover 385px, badge 'Made for Aarav'. 'A MAGICAL ADVENTURE', title 28sp, English · 8 min · Ages 5–9. 'A little peek inside' quote with lavender rule. Listen Now / Read Story. Row 'Saved to My Stories – Find it anytime in Created by Me'.</t>
        </is>
      </c>
      <c r="G11" s="4" t="inlineStr">
        <is>
          <t>Generating complete; notification</t>
        </is>
      </c>
      <c r="H11" s="4" t="inlineStr">
        <is>
          <t>Player, Reader, My Stories (Created by Me)</t>
        </is>
      </c>
      <c r="I11" s="4" t="inlineStr">
        <is>
          <t>Success ribbon, cover with back/favourite/download + 'Made for' badge, body sheet, eyebrow, title, metadata, synopsis, pull-quote, dual buttons, 'Saved to My Stories' row</t>
        </is>
      </c>
      <c r="J11" s="4" t="inlineStr">
        <is>
          <t>Ready</t>
        </is>
      </c>
      <c r="K11" s="4" t="inlineStr">
        <is>
          <t>Generated story</t>
        </is>
      </c>
      <c r="L11" s="4" t="inlineStr">
        <is>
          <t>Ribbon announced on arrival</t>
        </is>
      </c>
      <c r="M11" s="4" t="inlineStr">
        <is>
          <t>Story content must be in selected story language</t>
        </is>
      </c>
      <c r="N11" s="4" t="inlineStr">
        <is>
          <t>EN + KN</t>
        </is>
      </c>
      <c r="O11" s="4" t="inlineStr">
        <is>
          <t>LS-018, LS-044, LS-082, LS-084</t>
        </is>
      </c>
      <c r="P11" s="4" t="inlineStr">
        <is>
          <t>Design Ready</t>
        </is>
      </c>
      <c r="Q11" s="4" t="inlineStr">
        <is>
          <t>Not started</t>
        </is>
      </c>
      <c r="R11" s="4" t="inlineStr">
        <is>
          <t>Not reviewed</t>
        </is>
      </c>
      <c r="S11" s="4" t="inlineStr">
        <is>
          <t>–</t>
        </is>
      </c>
    </row>
    <row r="12" ht="281" customHeight="1">
      <c r="B12" s="17" t="inlineStr">
        <is>
          <t>SCR-10</t>
        </is>
      </c>
      <c r="C12" s="4" t="inlineStr">
        <is>
          <t>Reader</t>
        </is>
      </c>
      <c r="D12" s="5" t="inlineStr">
        <is>
          <t>Figma Make · Mobile App UI Prototype · screen 'reader'</t>
        </is>
      </c>
      <c r="E12" s="5" t="inlineStr">
        <is>
          <t>11-reader.jpg</t>
        </is>
      </c>
      <c r="F12" s="4" t="inlineStr">
        <is>
          <t>Background #FFFAF2. '1 of 5'. Paragraph Manrope 16/1.95 #393348, scalable in 0.1 steps. Reader nav: ghost Previous, round indigo play 54px, ghost Next.</t>
        </is>
      </c>
      <c r="G12" s="4" t="inlineStr">
        <is>
          <t>Detail 'Read Story', Story Ready, Player 'Story text'</t>
        </is>
      </c>
      <c r="H12" s="4" t="inlineStr">
        <is>
          <t>Player (narration button), back</t>
        </is>
      </c>
      <c r="I12" s="4" t="inlineStr">
        <is>
          <t>TopBar 'Reading' + back + favourite, page indicator, A−/A+ buttons, 3dp reading progress, title, cover (page 1), paragraph, flourish, bottom bar Previous / play / Next</t>
        </is>
      </c>
      <c r="J12" s="4" t="inlineStr">
        <is>
          <t>Page 1..n, first (Previous disabled), last (Next disabled), text scale 0.9–1.3</t>
        </is>
      </c>
      <c r="K12" s="4" t="inlineStr">
        <is>
          <t>Story pages, reading progress, text-size preference</t>
        </is>
      </c>
      <c r="L12" s="4" t="inlineStr">
        <is>
          <t>A−/A+ labelled 'Decrease/Increase text size'; text must also respect system font scale</t>
        </is>
      </c>
      <c r="M12" s="4" t="inlineStr">
        <is>
          <t>Kannada paragraphs need larger line height; page indicator uses format args</t>
        </is>
      </c>
      <c r="N12" s="4" t="inlineStr">
        <is>
          <t>EN + KN</t>
        </is>
      </c>
      <c r="O12" s="4" t="inlineStr">
        <is>
          <t>LS-018, LS-044, LS-090, LS-091</t>
        </is>
      </c>
      <c r="P12" s="4" t="inlineStr">
        <is>
          <t>Design Ready</t>
        </is>
      </c>
      <c r="Q12" s="4" t="inlineStr">
        <is>
          <t>Not started</t>
        </is>
      </c>
      <c r="R12" s="4" t="inlineStr">
        <is>
          <t>Not reviewed</t>
        </is>
      </c>
      <c r="S12" s="4" t="inlineStr">
        <is>
          <t>Persist text size per child or app-wide?</t>
        </is>
      </c>
    </row>
    <row r="13" ht="281" customHeight="1">
      <c r="B13" s="17" t="inlineStr">
        <is>
          <t>SCR-11a</t>
        </is>
      </c>
      <c r="C13" s="4" t="inlineStr">
        <is>
          <t>Player</t>
        </is>
      </c>
      <c r="D13" s="5" t="inlineStr">
        <is>
          <t>Figma Make · Mobile App UI Prototype · screen 'player'</t>
        </is>
      </c>
      <c r="E13" s="5" t="inlineStr">
        <is>
          <t>12-player.jpg</t>
        </is>
      </c>
      <c r="F13" s="4" t="inlineStr">
        <is>
          <t>Label 'NOW PLAYING FOR AARAV', cover 245×264 (265×290 tall phones), 'English · Narrated by Kavya', seek starts 31% (2:28/8:00), play 67px lavender. Secondary: Sleep timer, Download→Downloaded, Favourite→Loved, Speed cycles 0.75/1/1.25/1.5×. Volume default 75.</t>
        </is>
      </c>
      <c r="G13" s="4" t="inlineStr">
        <is>
          <t>Detail 'Listen', Story Ready, Home continue card, Reader play</t>
        </is>
      </c>
      <c r="H13" s="4" t="inlineStr">
        <is>
          <t>Reader ('Story text'), back</t>
        </is>
      </c>
      <c r="I13" s="4" t="inlineStr">
        <is>
          <t>Night gradient, stars, back, 'Story text' link, label, cover with glow, title, narrator line, seek slider + times, 5 transport controls, 4 secondary controls, volume slider</t>
        </is>
      </c>
      <c r="J13" s="4" t="inlineStr">
        <is>
          <t>Paused/playing, downloaded, favourite, speed 0.75–1.5×, timer set</t>
        </is>
      </c>
      <c r="K13" s="4" t="inlineStr">
        <is>
          <t>Simulated playback state</t>
        </is>
      </c>
      <c r="L13" s="4" t="inlineStr">
        <is>
          <t>All controls labelled; slider exposes value; 15s glyphs overlap (defect)</t>
        </is>
      </c>
      <c r="M13" s="4" t="inlineStr">
        <is>
          <t>'Narrated by {name}', 'Now playing for {child}' via format args</t>
        </is>
      </c>
      <c r="N13" s="4" t="inlineStr">
        <is>
          <t>EN + KN</t>
        </is>
      </c>
      <c r="O13" s="4" t="inlineStr">
        <is>
          <t>LS-018, LS-091, LS-092, LS-094</t>
        </is>
      </c>
      <c r="P13" s="4" t="inlineStr">
        <is>
          <t>Design Ready</t>
        </is>
      </c>
      <c r="Q13" s="4" t="inlineStr">
        <is>
          <t>Not started</t>
        </is>
      </c>
      <c r="R13" s="4" t="inlineStr">
        <is>
          <t>Not reviewed</t>
        </is>
      </c>
      <c r="S13" s="4" t="inlineStr">
        <is>
          <t>Simulated audio must be labelled as simulation – where? 15s glyph overlap</t>
        </is>
      </c>
    </row>
    <row r="14" ht="281" customHeight="1">
      <c r="B14" s="17" t="inlineStr">
        <is>
          <t>SCR-11b</t>
        </is>
      </c>
      <c r="C14" s="4" t="inlineStr">
        <is>
          <t>Player – Sleep timer sheet</t>
        </is>
      </c>
      <c r="D14" s="5" t="inlineStr">
        <is>
          <t>Figma Make · Mobile App UI Prototype · screen 'player (sleep sheet)'</t>
        </is>
      </c>
      <c r="E14" s="5" t="inlineStr">
        <is>
          <t>13-player-sleep-timer-sheet.jpg</t>
        </is>
      </c>
      <c r="F14" s="4" t="inlineStr">
        <is>
          <t>'Sleep timer', 'Audio will gently stop when the timer ends.' Options: 10 minutes, 15 minutes, 30 minutes, End of story. Selected label replaces 'Sleep timer' on button.</t>
        </is>
      </c>
      <c r="G14" s="4" t="inlineStr">
        <is>
          <t>Player 'Sleep timer'</t>
        </is>
      </c>
      <c r="H14" s="4" t="inlineStr">
        <is>
          <t>Player (select or Cancel / tap outside)</t>
        </is>
      </c>
      <c r="I14" s="4" t="inlineStr">
        <is>
          <t>Modal bottom sheet with handle, title, body, 4 option rows with check, Cancel ghost button, dim overlay</t>
        </is>
      </c>
      <c r="J14" s="4" t="inlineStr">
        <is>
          <t>None selected / option selected</t>
        </is>
      </c>
      <c r="K14" s="4" t="inlineStr">
        <is>
          <t>Sleep timer value</t>
        </is>
      </c>
      <c r="L14" s="4" t="inlineStr">
        <is>
          <t>Sheet focus trapped; selected option announced</t>
        </is>
      </c>
      <c r="M14" s="4" t="inlineStr">
        <is>
          <t>–</t>
        </is>
      </c>
      <c r="N14" s="4" t="inlineStr">
        <is>
          <t>EN + KN</t>
        </is>
      </c>
      <c r="O14" s="4" t="inlineStr">
        <is>
          <t>LS-017, LS-093</t>
        </is>
      </c>
      <c r="P14" s="4" t="inlineStr">
        <is>
          <t>Design Ready</t>
        </is>
      </c>
      <c r="Q14" s="4" t="inlineStr">
        <is>
          <t>Not started</t>
        </is>
      </c>
      <c r="R14" s="4" t="inlineStr">
        <is>
          <t>Not reviewed</t>
        </is>
      </c>
      <c r="S14" s="4" t="inlineStr">
        <is>
          <t>–</t>
        </is>
      </c>
    </row>
    <row r="15" ht="281" customHeight="1">
      <c r="B15" s="17" t="inlineStr">
        <is>
          <t>SCR-12</t>
        </is>
      </c>
      <c r="C15" s="4" t="inlineStr">
        <is>
          <t>My Stories</t>
        </is>
      </c>
      <c r="D15" s="5" t="inlineStr">
        <is>
          <t>Figma Make · Mobile App UI Prototype · screen 'library'</t>
        </is>
      </c>
      <c r="E15" s="5" t="inlineStr">
        <is>
          <t>14-my-stories.jpg</t>
        </is>
      </c>
      <c r="F15" s="4" t="inlineStr">
        <is>
          <t>Tabs: All, Created by Me, Downloaded, Favourites. All tab: 'Recently played' card ('3:24 remaining'), 'Your collection'. Empty Downloaded: 'Ready for offline adventures?'; others 'No stories here yet' – both 'Discover stories'.</t>
        </is>
      </c>
      <c r="G15" s="4" t="inlineStr">
        <is>
          <t>Bottom nav; Story Ready row</t>
        </is>
      </c>
      <c r="H15" s="4" t="inlineStr">
        <is>
          <t>Player, Story Detail, Story Ready (created), Offline Downloads, Discover</t>
        </is>
      </c>
      <c r="I15" s="4" t="inlineStr">
        <is>
          <t>TopBar brand+title+download icon, search, pill tabs, recently played card, list rows with play, empty states</t>
        </is>
      </c>
      <c r="J15" s="4" t="inlineStr">
        <is>
          <t>All, Created by Me, Downloaded, Favourites, empty (Downloaded / others), searching</t>
        </is>
      </c>
      <c r="K15" s="4" t="inlineStr">
        <is>
          <t>Saved/created/downloaded/favourite stories, recently played</t>
        </is>
      </c>
      <c r="L15" s="4" t="inlineStr">
        <is>
          <t>Tabs expose selected state</t>
        </is>
      </c>
      <c r="M15" s="4" t="inlineStr">
        <is>
          <t>Tab labels may wrap in Kannada – horizontal scroll</t>
        </is>
      </c>
      <c r="N15" s="4" t="inlineStr">
        <is>
          <t>EN + KN</t>
        </is>
      </c>
      <c r="O15" s="4" t="inlineStr">
        <is>
          <t>LS-014, LS-016, LS-017, LS-018, LS-091, LS-100</t>
        </is>
      </c>
      <c r="P15" s="4" t="inlineStr">
        <is>
          <t>Design Ready</t>
        </is>
      </c>
      <c r="Q15" s="4" t="inlineStr">
        <is>
          <t>Not started</t>
        </is>
      </c>
      <c r="R15" s="4" t="inlineStr">
        <is>
          <t>Not reviewed</t>
        </is>
      </c>
      <c r="S15" s="4" t="inlineStr">
        <is>
          <t>–</t>
        </is>
      </c>
    </row>
    <row r="16" ht="281" customHeight="1">
      <c r="B16" s="17" t="inlineStr">
        <is>
          <t>SCR-13</t>
        </is>
      </c>
      <c r="C16" s="4" t="inlineStr">
        <is>
          <t>Profile (settings hub)</t>
        </is>
      </c>
      <c r="D16" s="5" t="inlineStr">
        <is>
          <t>Figma Make · Mobile App UI Prototype · screen 'settings'</t>
        </is>
      </c>
      <c r="E16" s="5" t="inlineStr">
        <is>
          <t>15-profile-settings.jpg</t>
        </is>
      </c>
      <c r="F16" s="4" t="inlineStr">
        <is>
          <t>Parent card: Meera Sharma, meera@example.com, 'Account settings'. CHILDREN: Manage children, Language preferences. EXPERIENCE: Bedtime reminders (toggle), Notifications (toggle), Audio preferences, Download settings (Wi-Fi only toggle). LITTLESTORY: Subscription (Free plan), Privacy &amp; parent controls, Help &amp; about (Version 1.0 prototype). Screenshot still shows old 'LittleKatha' brand.</t>
        </is>
      </c>
      <c r="G16" s="4" t="inlineStr">
        <is>
          <t>Bottom nav Profile</t>
        </is>
      </c>
      <c r="H16" s="4" t="inlineStr">
        <is>
          <t>Setup, Child Profiles, Language prefs, Reminders, Notifications, Audio prefs, Downloads, Subscription, Privacy, Help</t>
        </is>
      </c>
      <c r="I16" s="4" t="inlineStr">
        <is>
          <t>Indigo parent card, grouped settings rows with icon tiles, toggles, chevrons, footer brand</t>
        </is>
      </c>
      <c r="J16" s="4" t="inlineStr">
        <is>
          <t>Toggles on/off</t>
        </is>
      </c>
      <c r="K16" s="4" t="inlineStr">
        <is>
          <t>Parent info, children, settings</t>
        </is>
      </c>
      <c r="L16" s="4" t="inlineStr">
        <is>
          <t>Prototype nests a toggle inside a row button – must be separate targets</t>
        </is>
      </c>
      <c r="M16" s="4" t="inlineStr">
        <is>
          <t>Group headings uppercase via style; 'Every day at {time}' locale time format</t>
        </is>
      </c>
      <c r="N16" s="4" t="inlineStr">
        <is>
          <t>EN + KN</t>
        </is>
      </c>
      <c r="O16" s="4" t="inlineStr">
        <is>
          <t>LS-014, LS-016, LS-046, LS-110</t>
        </is>
      </c>
      <c r="P16" s="4" t="inlineStr">
        <is>
          <t>Design Ready</t>
        </is>
      </c>
      <c r="Q16" s="4" t="inlineStr">
        <is>
          <t>Not started</t>
        </is>
      </c>
      <c r="R16" s="4" t="inlineStr">
        <is>
          <t>Not reviewed</t>
        </is>
      </c>
      <c r="S16" s="4" t="inlineStr">
        <is>
          <t>Several rows route to placeholder screens in prototype (Audio → Player, Privacy/Help → Notifications, Language → Setup)</t>
        </is>
      </c>
    </row>
    <row r="17" ht="144.5" customHeight="1">
      <c r="B17" s="17" t="inlineStr">
        <is>
          <t>SCR-14</t>
        </is>
      </c>
      <c r="C17" s="4" t="inlineStr">
        <is>
          <t>Child Profiles</t>
        </is>
      </c>
      <c r="D17" s="5" t="inlineStr">
        <is>
          <t>Figma Make · Mobile App UI Prototype · screen 'profiles'</t>
        </is>
      </c>
      <c r="E17" s="5" t="inlineStr">
        <is>
          <t>20-child-profiles.jpg</t>
        </is>
      </c>
      <c r="F17" s="4" t="inlineStr">
        <is>
          <t>Privacy note 'Private family profiles – Only you can see and manage your children’s details.' Cards: Aarav (6 · English · Animals · Cricket · Adventure, ✓ Active), Ananya (9 · Hindi · Space · Science · Music, Switch). 'Add another child – Personalise stories for every little listener'.</t>
        </is>
      </c>
      <c r="G17" s="4" t="inlineStr">
        <is>
          <t>Home avatar; Profile → Manage children</t>
        </is>
      </c>
      <c r="H17" s="4" t="inlineStr">
        <is>
          <t>Setup (add/edit), back → Profile</t>
        </is>
      </c>
      <c r="I17" s="4" t="inlineStr">
        <is>
          <t>TopBar title + 'Add child', privacy note, profile cards (active pill / Switch, edit pencil), dashed add row</t>
        </is>
      </c>
      <c r="J17" s="4" t="inlineStr">
        <is>
          <t>Active/inactive profiles</t>
        </is>
      </c>
      <c r="K17" s="4" t="inlineStr">
        <is>
          <t>ChildProfile list, active profile</t>
        </is>
      </c>
      <c r="L17" s="4" t="inlineStr">
        <is>
          <t>Edit icon labelled per child; active state announced</t>
        </is>
      </c>
      <c r="M17" s="4" t="inlineStr">
        <is>
          <t>'{age} years · {language}' via plurals/format</t>
        </is>
      </c>
      <c r="N17" s="4" t="inlineStr">
        <is>
          <t>EN + KN</t>
        </is>
      </c>
      <c r="O17" s="4" t="inlineStr">
        <is>
          <t>LS-062, LS-063</t>
        </is>
      </c>
      <c r="P17" s="4" t="inlineStr">
        <is>
          <t>Design Ready</t>
        </is>
      </c>
      <c r="Q17" s="4" t="inlineStr">
        <is>
          <t>Not started</t>
        </is>
      </c>
      <c r="R17" s="4" t="inlineStr">
        <is>
          <t>Not reviewed</t>
        </is>
      </c>
      <c r="S17" s="4" t="inlineStr">
        <is>
          <t>Delete profile not designed; max profiles?</t>
        </is>
      </c>
    </row>
    <row r="18" ht="252.5" customHeight="1">
      <c r="B18" s="17" t="inlineStr">
        <is>
          <t>SCR-15</t>
        </is>
      </c>
      <c r="C18" s="4" t="inlineStr">
        <is>
          <t>Subscription (demo) + dialog</t>
        </is>
      </c>
      <c r="D18" s="5" t="inlineStr">
        <is>
          <t>Figma Make · Mobile App UI Prototype · screen 'subscription'</t>
        </is>
      </c>
      <c r="E18" s="5" t="inlineStr">
        <is>
          <t>16-subscription.jpg</t>
        </is>
      </c>
      <c r="F18" s="4" t="inlineStr">
        <is>
          <t>Plans: Free ₹0 'Try the magic', Premium Monthly ₹249, Premium Yearly ₹1,799 'best value' (preselected), Premium Family ₹2,499 'up to 5 children'. 'Illustrative pricing only. No real payment will be processed.' CTA 'Choose {plan} Plan'. Dialog 'Plan selected – This is a prototype, so no payment was made…'. Screenshot shows old 'LITTLEKATHA PREMIUM'.</t>
        </is>
      </c>
      <c r="G18" s="4" t="inlineStr">
        <is>
          <t>Profile → Subscription</t>
        </is>
      </c>
      <c r="H18" s="4" t="inlineStr">
        <is>
          <t>Home (Done), back</t>
        </is>
      </c>
      <c r="I18" s="4" t="inlineStr">
        <is>
          <t>Night hero with moon, eyebrow, title, body, 2-col benefits checklist, plan radio list with BEST VALUE tag, disclaimer, CTA, legal links, confirmation dialog</t>
        </is>
      </c>
      <c r="J18" s="4" t="inlineStr">
        <is>
          <t>Plan selected (Yearly default), confirmation dialog</t>
        </is>
      </c>
      <c r="K18" s="4" t="inlineStr">
        <is>
          <t>Demo plans (feature-flagged)</t>
        </is>
      </c>
      <c r="L18" s="4" t="inlineStr">
        <is>
          <t>Radio group semantics; dialog focus</t>
        </is>
      </c>
      <c r="M18" s="4" t="inlineStr">
        <is>
          <t>Prices must use locale currency formatting (₹)</t>
        </is>
      </c>
      <c r="N18" s="4" t="inlineStr">
        <is>
          <t>EN + KN</t>
        </is>
      </c>
      <c r="O18" s="4" t="inlineStr">
        <is>
          <t>LS-017, LS-113</t>
        </is>
      </c>
      <c r="P18" s="4" t="inlineStr">
        <is>
          <t>Design Ready</t>
        </is>
      </c>
      <c r="Q18" s="4" t="inlineStr">
        <is>
          <t>Not started</t>
        </is>
      </c>
      <c r="R18" s="4" t="inlineStr">
        <is>
          <t>Not reviewed</t>
        </is>
      </c>
      <c r="S18" s="4" t="inlineStr">
        <is>
          <t>Ship demo subscription in MVP or hide behind flag?</t>
        </is>
      </c>
    </row>
    <row r="19" ht="213.5" customHeight="1">
      <c r="B19" s="17" t="inlineStr">
        <is>
          <t>SCR-16</t>
        </is>
      </c>
      <c r="C19" s="4" t="inlineStr">
        <is>
          <t>Bedtime Reminder</t>
        </is>
      </c>
      <c r="D19" s="5" t="inlineStr">
        <is>
          <t>Figma Make · Mobile App UI Prototype · screen 'reminders'</t>
        </is>
      </c>
      <c r="E19" s="5" t="inlineStr">
        <is>
          <t>17-bedtime-reminder.jpg</t>
        </is>
      </c>
      <c r="F19" s="4" t="inlineStr">
        <is>
          <t>Panel 'A gentle nudge for storytime', 'We’ll keep it quiet and calm—just one reminder.' Toggle 'Bedtime reminder – Pause anytime', time 20:30, days M T W T F S S all on, 'Quiet bedtime experience – No sound, no bright alerts'. CTA 'Save reminder' → toast 'Reminder saved for {time}'.</t>
        </is>
      </c>
      <c r="G19" s="4" t="inlineStr">
        <is>
          <t>Profile → Bedtime reminders; notification</t>
        </is>
      </c>
      <c r="H19" s="4" t="inlineStr">
        <is>
          <t>Back → Profile</t>
        </is>
      </c>
      <c r="I19" s="4" t="inlineStr">
        <is>
          <t>Indigo visual panel, setting card: toggle, time input, 7 day buttons, quiet row, primary CTA, toast</t>
        </is>
      </c>
      <c r="J19" s="4" t="inlineStr">
        <is>
          <t>Enabled/disabled (time &amp; days disabled), saved toast</t>
        </is>
      </c>
      <c r="K19" s="4" t="inlineStr">
        <is>
          <t>Reminder settings (local)</t>
        </is>
      </c>
      <c r="L19" s="4" t="inlineStr">
        <is>
          <t>Day buttons need full day names for TalkBack; toggle labelled</t>
        </is>
      </c>
      <c r="M19" s="4" t="inlineStr">
        <is>
          <t>Day initials and time format are locale-specific (use DayOfWeek/DateTimeFormatter)</t>
        </is>
      </c>
      <c r="N19" s="4" t="inlineStr">
        <is>
          <t>EN + KN</t>
        </is>
      </c>
      <c r="O19" s="4" t="inlineStr">
        <is>
          <t>LS-016, LS-017, LS-111</t>
        </is>
      </c>
      <c r="P19" s="4" t="inlineStr">
        <is>
          <t>Design Ready</t>
        </is>
      </c>
      <c r="Q19" s="4" t="inlineStr">
        <is>
          <t>Not started</t>
        </is>
      </c>
      <c r="R19" s="4" t="inlineStr">
        <is>
          <t>Not reviewed</t>
        </is>
      </c>
      <c r="S19" s="4" t="inlineStr">
        <is>
          <t>Actually schedule a local notification in MVP? (needs POST_NOTIFICATIONS)</t>
        </is>
      </c>
    </row>
    <row r="20" ht="125.75" customHeight="1">
      <c r="B20" s="17" t="inlineStr">
        <is>
          <t>SCR-17</t>
        </is>
      </c>
      <c r="C20" s="4" t="inlineStr">
        <is>
          <t>Offline Downloads</t>
        </is>
      </c>
      <c r="D20" s="5" t="inlineStr">
        <is>
          <t>Figma Make · Mobile App UI Prototype · screen 'downloads'</t>
        </is>
      </c>
      <c r="E20" s="5" t="inlineStr">
        <is>
          <t>18-offline-downloads.jpg</t>
        </is>
      </c>
      <c r="F20" s="4" t="inlineStr">
        <is>
          <t>Storage card '{n} MB used / of 1 GB available for stories', yellow bar (min 3%). Rows '✓ AVAILABLE OFFLINE', title, '{size} MB · Audio &amp; story', ✕. Empty 'No downloads yet' → 'Find a story'. Tip 'Offline means worry-free…'.</t>
        </is>
      </c>
      <c r="G20" s="4" t="inlineStr">
        <is>
          <t>My Stories download icon; Profile → Download settings</t>
        </is>
      </c>
      <c r="H20" s="4" t="inlineStr">
        <is>
          <t>Discover (empty CTA), back</t>
        </is>
      </c>
      <c r="I20" s="4" t="inlineStr">
        <is>
          <t>Indigo storage card with bar, downloaded list rows with remove ✕, empty state, green tip</t>
        </is>
      </c>
      <c r="J20" s="4" t="inlineStr">
        <is>
          <t>Has downloads, empty</t>
        </is>
      </c>
      <c r="K20" s="4" t="inlineStr">
        <is>
          <t>Downloaded stories (simulated) and sizes</t>
        </is>
      </c>
      <c r="L20" s="4" t="inlineStr">
        <is>
          <t>Remove button labelled with story title</t>
        </is>
      </c>
      <c r="M20" s="4" t="inlineStr">
        <is>
          <t>'{n} MB used' number formatting</t>
        </is>
      </c>
      <c r="N20" s="4" t="inlineStr">
        <is>
          <t>EN + KN</t>
        </is>
      </c>
      <c r="O20" s="4" t="inlineStr">
        <is>
          <t>LS-017, LS-018, LS-101</t>
        </is>
      </c>
      <c r="P20" s="4" t="inlineStr">
        <is>
          <t>Design Ready</t>
        </is>
      </c>
      <c r="Q20" s="4" t="inlineStr">
        <is>
          <t>Not started</t>
        </is>
      </c>
      <c r="R20" s="4" t="inlineStr">
        <is>
          <t>Not reviewed</t>
        </is>
      </c>
      <c r="S20" s="4" t="inlineStr">
        <is>
          <t>Downloads are simulated in MVP – label accordingly</t>
        </is>
      </c>
    </row>
    <row r="21" ht="144.5" customHeight="1">
      <c r="B21" s="17" t="inlineStr">
        <is>
          <t>SCR-18</t>
        </is>
      </c>
      <c r="C21" s="4" t="inlineStr">
        <is>
          <t>Notifications</t>
        </is>
      </c>
      <c r="D21" s="5" t="inlineStr">
        <is>
          <t>Figma Make · Mobile App UI Prototype · screen 'notifications'</t>
        </is>
      </c>
      <c r="E21" s="5" t="inlineStr">
        <is>
          <t>19-notifications.jpg</t>
        </is>
      </c>
      <c r="F21" s="4" t="inlineStr">
        <is>
          <t>'Mark all read'. TODAY: 'Your new story is ready' (unread), 'Storytime is at 8:30 PM'. EARLIER: 'Fresh tales from India'. Icon tiles lavender/peach/yellow.</t>
        </is>
      </c>
      <c r="G21" s="4" t="inlineStr">
        <is>
          <t>Home/Discover bell; Profile → Notifications</t>
        </is>
      </c>
      <c r="H21" s="4" t="inlineStr">
        <is>
          <t>Story Ready, Reminders, Discover</t>
        </is>
      </c>
      <c r="I21" s="4" t="inlineStr">
        <is>
          <t>TopBar title + 'Mark all read', section labels, notification rows with tinted icon tiles and unread dot</t>
        </is>
      </c>
      <c r="J21" s="4" t="inlineStr">
        <is>
          <t>Unread/read, empty (not designed)</t>
        </is>
      </c>
      <c r="K21" s="4" t="inlineStr">
        <is>
          <t>Mock notifications</t>
        </is>
      </c>
      <c r="L21" s="4" t="inlineStr">
        <is>
          <t>Unread state announced, not colour only</t>
        </is>
      </c>
      <c r="M21" s="4" t="inlineStr">
        <is>
          <t>Notification text is mock content (per-language JSON)</t>
        </is>
      </c>
      <c r="N21" s="4" t="inlineStr">
        <is>
          <t>EN + KN</t>
        </is>
      </c>
      <c r="O21" s="4" t="inlineStr">
        <is>
          <t>LS-112</t>
        </is>
      </c>
      <c r="P21" s="4" t="inlineStr">
        <is>
          <t>Design Ready</t>
        </is>
      </c>
      <c r="Q21" s="4" t="inlineStr">
        <is>
          <t>Not started</t>
        </is>
      </c>
      <c r="R21" s="4" t="inlineStr">
        <is>
          <t>Not reviewed</t>
        </is>
      </c>
      <c r="S21" s="4" t="inlineStr">
        <is>
          <t>Empty state not designed</t>
        </is>
      </c>
    </row>
    <row r="22" ht="31" customHeight="1">
      <c r="A22" s="24" t="inlineStr">
        <is>
          <t>No design yet</t>
        </is>
      </c>
      <c r="B22" s="17" t="inlineStr">
        <is>
          <t>SCR-19</t>
        </is>
      </c>
      <c r="C22" s="4" t="inlineStr">
        <is>
          <t>Splash / launch</t>
        </is>
      </c>
      <c r="D22" s="4" t="inlineStr">
        <is>
          <t>Not in Figma Make file</t>
        </is>
      </c>
      <c r="E22" s="4" t="inlineStr">
        <is>
          <t>– (no design)</t>
        </is>
      </c>
      <c r="F22" s="4" t="inlineStr">
        <is>
          <t>NOT IN DESIGN. Propose: cream or night background with LittleStory symbol via core-splashscreen.</t>
        </is>
      </c>
      <c r="G22" s="4" t="inlineStr">
        <is>
          <t>App start</t>
        </is>
      </c>
      <c r="H22" s="4" t="inlineStr">
        <is>
          <t>Onboarding (first run) or Home</t>
        </is>
      </c>
      <c r="I22" s="4" t="inlineStr">
        <is>
          <t>Android 12+ SplashScreen API (icon + background)</t>
        </is>
      </c>
      <c r="J22" s="4" t="inlineStr">
        <is>
          <t>–</t>
        </is>
      </c>
      <c r="K22" s="4" t="inlineStr">
        <is>
          <t>First-run flag</t>
        </is>
      </c>
      <c r="L22" s="4" t="inlineStr">
        <is>
          <t>–</t>
        </is>
      </c>
      <c r="M22" s="4" t="inlineStr">
        <is>
          <t>–</t>
        </is>
      </c>
      <c r="N22" s="4" t="inlineStr">
        <is>
          <t>After design</t>
        </is>
      </c>
      <c r="O22" s="4" t="inlineStr">
        <is>
          <t>LS-051</t>
        </is>
      </c>
      <c r="P22" s="4" t="inlineStr">
        <is>
          <t>Design Missing</t>
        </is>
      </c>
      <c r="Q22" s="4" t="inlineStr">
        <is>
          <t>Not started</t>
        </is>
      </c>
      <c r="R22" s="4" t="inlineStr">
        <is>
          <t>Not reviewed</t>
        </is>
      </c>
      <c r="S22" s="4" t="inlineStr">
        <is>
          <t>Need splash spec + app icon</t>
        </is>
      </c>
    </row>
    <row r="23" ht="31" customHeight="1">
      <c r="A23" s="24" t="inlineStr">
        <is>
          <t>No design yet</t>
        </is>
      </c>
      <c r="B23" s="17" t="inlineStr">
        <is>
          <t>SCR-20</t>
        </is>
      </c>
      <c r="C23" s="4" t="inlineStr">
        <is>
          <t>Language preferences</t>
        </is>
      </c>
      <c r="D23" s="4" t="inlineStr">
        <is>
          <t>Not in Figma Make file</t>
        </is>
      </c>
      <c r="E23" s="4" t="inlineStr">
        <is>
          <t>– (no design)</t>
        </is>
      </c>
      <c r="F23" s="4" t="inlineStr">
        <is>
          <t>NOT IN DESIGN. Prototype routes to Setup. Propose a simple list screen reusing settings rows: English / ಕನ್ನಡ with check.</t>
        </is>
      </c>
      <c r="G23" s="4" t="inlineStr">
        <is>
          <t>Profile → Language preferences</t>
        </is>
      </c>
      <c r="H23" s="4" t="inlineStr">
        <is>
          <t>Back → Profile</t>
        </is>
      </c>
      <c r="I23" s="4" t="inlineStr">
        <is>
          <t>Language list (registry-driven), selection state</t>
        </is>
      </c>
      <c r="J23" s="4" t="inlineStr">
        <is>
          <t>Selected</t>
        </is>
      </c>
      <c r="K23" s="4" t="inlineStr">
        <is>
          <t>App language, default story language</t>
        </is>
      </c>
      <c r="L23" s="4" t="inlineStr">
        <is>
          <t>Each language shown in own script</t>
        </is>
      </c>
      <c r="M23" s="4" t="inlineStr">
        <is>
          <t>Core of EN/KN requirement</t>
        </is>
      </c>
      <c r="N23" s="4" t="inlineStr">
        <is>
          <t>After design</t>
        </is>
      </c>
      <c r="O23" s="4" t="inlineStr">
        <is>
          <t>LS-046</t>
        </is>
      </c>
      <c r="P23" s="4" t="inlineStr">
        <is>
          <t>Design Missing</t>
        </is>
      </c>
      <c r="Q23" s="4" t="inlineStr">
        <is>
          <t>Not started</t>
        </is>
      </c>
      <c r="R23" s="4" t="inlineStr">
        <is>
          <t>Not reviewed</t>
        </is>
      </c>
      <c r="S23" s="4" t="inlineStr">
        <is>
          <t>App language vs story language – one setting or two?</t>
        </is>
      </c>
    </row>
    <row r="24" ht="31" customHeight="1">
      <c r="A24" s="24" t="inlineStr">
        <is>
          <t>No design yet</t>
        </is>
      </c>
      <c r="B24" s="17" t="inlineStr">
        <is>
          <t>SCR-21</t>
        </is>
      </c>
      <c r="C24" s="4" t="inlineStr">
        <is>
          <t>Privacy &amp; parent controls</t>
        </is>
      </c>
      <c r="D24" s="4" t="inlineStr">
        <is>
          <t>Not in Figma Make file</t>
        </is>
      </c>
      <c r="E24" s="4" t="inlineStr">
        <is>
          <t>– (no design)</t>
        </is>
      </c>
      <c r="F24" s="4" t="inlineStr">
        <is>
          <t>NOT IN DESIGN. Prototype routes to Notifications.</t>
        </is>
      </c>
      <c r="G24" s="4" t="inlineStr">
        <is>
          <t>Profile → Privacy &amp; parent controls</t>
        </is>
      </c>
      <c r="H24" s="4" t="inlineStr">
        <is>
          <t>Back → Profile</t>
        </is>
      </c>
      <c r="I24" s="4" t="inlineStr">
        <is>
          <t>Info sections, data deletion action (local), parental gate?</t>
        </is>
      </c>
      <c r="J24" s="4" t="inlineStr">
        <is>
          <t>–</t>
        </is>
      </c>
      <c r="K24" s="4" t="inlineStr">
        <is>
          <t>Local data summary</t>
        </is>
      </c>
      <c r="L24" s="4" t="inlineStr">
        <is>
          <t>–</t>
        </is>
      </c>
      <c r="M24" s="4" t="inlineStr">
        <is>
          <t>Long text – must wrap in Kannada</t>
        </is>
      </c>
      <c r="N24" s="4" t="inlineStr">
        <is>
          <t>After design</t>
        </is>
      </c>
      <c r="O24" s="4" t="inlineStr">
        <is>
          <t>LS-114</t>
        </is>
      </c>
      <c r="P24" s="4" t="inlineStr">
        <is>
          <t>Design Missing</t>
        </is>
      </c>
      <c r="Q24" s="4" t="inlineStr">
        <is>
          <t>Not started</t>
        </is>
      </c>
      <c r="R24" s="4" t="inlineStr">
        <is>
          <t>Not reviewed</t>
        </is>
      </c>
      <c r="S24" s="4" t="inlineStr">
        <is>
          <t>Content and controls to be defined (data delete, parental gate)</t>
        </is>
      </c>
    </row>
    <row r="25" ht="18" customHeight="1">
      <c r="A25" s="24" t="inlineStr">
        <is>
          <t>No design yet</t>
        </is>
      </c>
      <c r="B25" s="17" t="inlineStr">
        <is>
          <t>SCR-22</t>
        </is>
      </c>
      <c r="C25" s="4" t="inlineStr">
        <is>
          <t>Help &amp; about</t>
        </is>
      </c>
      <c r="D25" s="4" t="inlineStr">
        <is>
          <t>Not in Figma Make file</t>
        </is>
      </c>
      <c r="E25" s="4" t="inlineStr">
        <is>
          <t>– (no design)</t>
        </is>
      </c>
      <c r="F25" s="4" t="inlineStr">
        <is>
          <t>NOT IN DESIGN. Prototype routes to Notifications.</t>
        </is>
      </c>
      <c r="G25" s="4" t="inlineStr">
        <is>
          <t>Profile → Help &amp; about</t>
        </is>
      </c>
      <c r="H25" s="4" t="inlineStr">
        <is>
          <t>Back → Profile</t>
        </is>
      </c>
      <c r="I25" s="4" t="inlineStr">
        <is>
          <t>App version, licences (fonts OFL), help text</t>
        </is>
      </c>
      <c r="J25" s="4" t="inlineStr">
        <is>
          <t>–</t>
        </is>
      </c>
      <c r="K25" s="4" t="inlineStr">
        <is>
          <t>BuildConfig version</t>
        </is>
      </c>
      <c r="L25" s="4" t="inlineStr">
        <is>
          <t>–</t>
        </is>
      </c>
      <c r="M25" s="4" t="inlineStr">
        <is>
          <t>–</t>
        </is>
      </c>
      <c r="N25" s="4" t="inlineStr">
        <is>
          <t>After design</t>
        </is>
      </c>
      <c r="O25" s="4" t="inlineStr">
        <is>
          <t>LS-115</t>
        </is>
      </c>
      <c r="P25" s="4" t="inlineStr">
        <is>
          <t>Design Missing</t>
        </is>
      </c>
      <c r="Q25" s="4" t="inlineStr">
        <is>
          <t>Not started</t>
        </is>
      </c>
      <c r="R25" s="4" t="inlineStr">
        <is>
          <t>Not reviewed</t>
        </is>
      </c>
      <c r="S25" s="4" t="inlineStr">
        <is>
          <t>Content to be defined</t>
        </is>
      </c>
    </row>
    <row r="26" ht="31" customHeight="1">
      <c r="A26" s="24" t="inlineStr">
        <is>
          <t>No design yet</t>
        </is>
      </c>
      <c r="B26" s="17" t="inlineStr">
        <is>
          <t>SCR-23</t>
        </is>
      </c>
      <c r="C26" s="4" t="inlineStr">
        <is>
          <t>Account settings / Audio preferences</t>
        </is>
      </c>
      <c r="D26" s="4" t="inlineStr">
        <is>
          <t>Not in Figma Make file</t>
        </is>
      </c>
      <c r="E26" s="4" t="inlineStr">
        <is>
          <t>– (no design)</t>
        </is>
      </c>
      <c r="F26" s="4" t="inlineStr">
        <is>
          <t>NOT IN DESIGN. Prototype routes 'Account settings' → Setup and 'Audio preferences' → Player.</t>
        </is>
      </c>
      <c r="G26" s="4" t="inlineStr">
        <is>
          <t>Profile parent card; Profile → Audio preferences</t>
        </is>
      </c>
      <c r="H26" s="4" t="inlineStr">
        <is>
          <t>Back</t>
        </is>
      </c>
      <c r="I26" s="4" t="inlineStr">
        <is>
          <t>–</t>
        </is>
      </c>
      <c r="J26" s="4" t="inlineStr">
        <is>
          <t>–</t>
        </is>
      </c>
      <c r="K26" s="4" t="inlineStr">
        <is>
          <t>–</t>
        </is>
      </c>
      <c r="L26" s="4" t="inlineStr">
        <is>
          <t>–</t>
        </is>
      </c>
      <c r="M26" s="4" t="inlineStr">
        <is>
          <t>–</t>
        </is>
      </c>
      <c r="N26" s="4" t="inlineStr">
        <is>
          <t>After design</t>
        </is>
      </c>
      <c r="O26" s="4" t="inlineStr">
        <is>
          <t>–</t>
        </is>
      </c>
      <c r="P26" s="4" t="inlineStr">
        <is>
          <t>Design Missing</t>
        </is>
      </c>
      <c r="Q26" s="4" t="inlineStr">
        <is>
          <t>Not started</t>
        </is>
      </c>
      <c r="R26" s="4" t="inlineStr">
        <is>
          <t>Not reviewed</t>
        </is>
      </c>
      <c r="S26" s="4" t="inlineStr">
        <is>
          <t>Needed for MVP or remove rows?</t>
        </is>
      </c>
    </row>
  </sheetData>
  <autoFilter ref="A1:S26"/>
  <conditionalFormatting sqref="P2:P26">
    <cfRule type="cellIs" priority="1" operator="equal" dxfId="3">
      <formula>"Design Missing"</formula>
    </cfRule>
    <cfRule type="cellIs" priority="2" operator="equal" dxfId="4">
      <formula>"Design Ready"</formula>
    </cfRule>
  </conditionalFormatting>
  <dataValidations count="2">
    <dataValidation sqref="P2:P26" showDropDown="0" showInputMessage="0" showErrorMessage="0" allowBlank="1" type="list">
      <formula1>=Lists!$M$2:$M$5</formula1>
    </dataValidation>
    <dataValidation sqref="Q2:Q26" showDropDown="0" showInputMessage="0" showErrorMessage="0" allowBlank="1" type="list">
      <formula1>=Lists!$N$2:$N$5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</hyperlinks>
  <pageMargins left="0.75" right="0.75" top="1" bottom="1" header="0.5" footer="0.5"/>
  <drawing xmlns:r="http://schemas.openxmlformats.org/officeDocument/2006/relationships" r:id="rId41"/>
</worksheet>
</file>

<file path=xl/worksheets/sheet8.xml><?xml version="1.0" encoding="utf-8"?>
<worksheet xmlns="http://schemas.openxmlformats.org/spreadsheetml/2006/main">
  <sheetPr>
    <tabColor rgb="00FFC9AD"/>
    <outlinePr summaryBelow="1" summaryRight="1"/>
    <pageSetUpPr/>
  </sheetPr>
  <dimension ref="A1:H239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" customWidth="1" min="3" max="3"/>
    <col width="34" customWidth="1" min="4" max="4"/>
    <col width="2" customWidth="1" min="5" max="5"/>
    <col width="34" customWidth="1" min="6" max="6"/>
    <col width="2" customWidth="1" min="7" max="7"/>
    <col width="34" customWidth="1" min="8" max="8"/>
    <col width="2" customWidth="1" min="9" max="9"/>
  </cols>
  <sheetData>
    <row r="1">
      <c r="A1" s="1" t="inlineStr">
        <is>
          <t>Design Gallery</t>
        </is>
      </c>
    </row>
    <row r="2">
      <c r="A2" s="2" t="inlineStr">
        <is>
          <t>Full-length captures from the Figma Make prototype (430 px frame). Pre-rename: logo and Premium banner still say 'LittleKatha' – build uses 'LittleStory'.</t>
        </is>
      </c>
    </row>
    <row r="4" ht="30" customHeight="1">
      <c r="B4" s="25" t="inlineStr">
        <is>
          <t>SCR-01 · Onboarding (3 slides)</t>
        </is>
      </c>
      <c r="D4" s="25" t="inlineStr">
        <is>
          <t>SCR-01 · Onboarding (3 slides)</t>
        </is>
      </c>
      <c r="F4" s="25" t="inlineStr">
        <is>
          <t>SCR-01 · Onboarding (3 slides)</t>
        </is>
      </c>
      <c r="H4" s="25" t="inlineStr">
        <is>
          <t>SCR-02 · Setup – Child profile</t>
        </is>
      </c>
    </row>
    <row r="5">
      <c r="B5" s="26" t="inlineStr">
        <is>
          <t>01-onboarding-1-every-day-has-a-story.jpg</t>
        </is>
      </c>
      <c r="D5" s="26" t="inlineStr">
        <is>
          <t>02-onboarding-2-your-child-the-hero.jpg</t>
        </is>
      </c>
      <c r="F5" s="26" t="inlineStr">
        <is>
          <t>03-onboarding-3-listen-dream-repeat.jpg</t>
        </is>
      </c>
      <c r="H5" s="26" t="inlineStr">
        <is>
          <t>04-setup-profile.jpg</t>
        </is>
      </c>
    </row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50" ht="30" customHeight="1">
      <c r="B50" s="25" t="inlineStr">
        <is>
          <t>SCR-03 · Home</t>
        </is>
      </c>
      <c r="D50" s="25" t="inlineStr">
        <is>
          <t>SCR-04a · Discover</t>
        </is>
      </c>
      <c r="F50" s="25" t="inlineStr">
        <is>
          <t>SCR-05 · Category (Indian Tales)</t>
        </is>
      </c>
      <c r="H50" s="25" t="inlineStr">
        <is>
          <t>SCR-06 · Story Detail</t>
        </is>
      </c>
    </row>
    <row r="51">
      <c r="B51" s="26" t="inlineStr">
        <is>
          <t>05-home.jpg</t>
        </is>
      </c>
      <c r="D51" s="26" t="inlineStr">
        <is>
          <t>06-discover.jpg</t>
        </is>
      </c>
      <c r="F51" s="26" t="inlineStr">
        <is>
          <t>21-category-indian-tales.jpg</t>
        </is>
      </c>
      <c r="H51" s="26" t="inlineStr">
        <is>
          <t>22-story-detail.jpg</t>
        </is>
      </c>
    </row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101" ht="30" customHeight="1">
      <c r="B101" s="25" t="inlineStr">
        <is>
          <t>SCR-07 · Create a Story</t>
        </is>
      </c>
      <c r="D101" s="25" t="inlineStr">
        <is>
          <t>SCR-07 · Create a Story</t>
        </is>
      </c>
      <c r="F101" s="25" t="inlineStr">
        <is>
          <t>SCR-08 · Generating + Paused</t>
        </is>
      </c>
      <c r="H101" s="25" t="inlineStr">
        <is>
          <t>SCR-09 · Story Ready</t>
        </is>
      </c>
    </row>
    <row r="102">
      <c r="B102" s="26" t="inlineStr">
        <is>
          <t>07-create-story.jpg</t>
        </is>
      </c>
      <c r="D102" s="26" t="inlineStr">
        <is>
          <t>08-create-story-more-options-and-error.jpg</t>
        </is>
      </c>
      <c r="F102" s="26" t="inlineStr">
        <is>
          <t>09-generating.jpg</t>
        </is>
      </c>
      <c r="H102" s="26" t="inlineStr">
        <is>
          <t>10-story-ready.jpg</t>
        </is>
      </c>
    </row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2" ht="30" customHeight="1">
      <c r="B152" s="25" t="inlineStr">
        <is>
          <t>SCR-10 · Reader</t>
        </is>
      </c>
      <c r="D152" s="25" t="inlineStr">
        <is>
          <t>SCR-11a · Player</t>
        </is>
      </c>
      <c r="F152" s="25" t="inlineStr">
        <is>
          <t>SCR-11b · Player – Sleep timer sheet</t>
        </is>
      </c>
      <c r="H152" s="25" t="inlineStr">
        <is>
          <t>SCR-12 · My Stories</t>
        </is>
      </c>
    </row>
    <row r="153">
      <c r="B153" s="26" t="inlineStr">
        <is>
          <t>11-reader.jpg</t>
        </is>
      </c>
      <c r="D153" s="26" t="inlineStr">
        <is>
          <t>12-player.jpg</t>
        </is>
      </c>
      <c r="F153" s="26" t="inlineStr">
        <is>
          <t>13-player-sleep-timer-sheet.jpg</t>
        </is>
      </c>
      <c r="H153" s="26" t="inlineStr">
        <is>
          <t>14-my-stories.jpg</t>
        </is>
      </c>
    </row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5" ht="30" customHeight="1">
      <c r="B195" s="25" t="inlineStr">
        <is>
          <t>SCR-13 · Profile (settings hub)</t>
        </is>
      </c>
      <c r="D195" s="25" t="inlineStr">
        <is>
          <t>SCR-14 · Child Profiles</t>
        </is>
      </c>
      <c r="F195" s="25" t="inlineStr">
        <is>
          <t>SCR-15 · Subscription (demo) + dialog</t>
        </is>
      </c>
      <c r="H195" s="25" t="inlineStr">
        <is>
          <t>SCR-16 · Bedtime Reminder</t>
        </is>
      </c>
    </row>
    <row r="196">
      <c r="B196" s="26" t="inlineStr">
        <is>
          <t>15-profile-settings.jpg</t>
        </is>
      </c>
      <c r="D196" s="26" t="inlineStr">
        <is>
          <t>20-child-profiles.jpg</t>
        </is>
      </c>
      <c r="F196" s="26" t="inlineStr">
        <is>
          <t>16-subscription.jpg</t>
        </is>
      </c>
      <c r="H196" s="26" t="inlineStr">
        <is>
          <t>17-bedtime-reminder.jpg</t>
        </is>
      </c>
    </row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8" ht="30" customHeight="1">
      <c r="B238" s="25" t="inlineStr">
        <is>
          <t>SCR-17 · Offline Downloads</t>
        </is>
      </c>
      <c r="D238" s="25" t="inlineStr">
        <is>
          <t>SCR-18 · Notifications</t>
        </is>
      </c>
    </row>
    <row r="239">
      <c r="B239" s="26" t="inlineStr">
        <is>
          <t>18-offline-downloads.jpg</t>
        </is>
      </c>
      <c r="D239" s="26" t="inlineStr">
        <is>
          <t>19-notifications.jpg</t>
        </is>
      </c>
    </row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</sheetData>
  <hyperlinks>
    <hyperlink xmlns:r="http://schemas.openxmlformats.org/officeDocument/2006/relationships" ref="B4" r:id="rId1"/>
    <hyperlink xmlns:r="http://schemas.openxmlformats.org/officeDocument/2006/relationships" ref="D4" r:id="rId2"/>
    <hyperlink xmlns:r="http://schemas.openxmlformats.org/officeDocument/2006/relationships" ref="F4" r:id="rId3"/>
    <hyperlink xmlns:r="http://schemas.openxmlformats.org/officeDocument/2006/relationships" ref="H4" r:id="rId4"/>
    <hyperlink xmlns:r="http://schemas.openxmlformats.org/officeDocument/2006/relationships" ref="B50" r:id="rId5"/>
    <hyperlink xmlns:r="http://schemas.openxmlformats.org/officeDocument/2006/relationships" ref="D50" r:id="rId6"/>
    <hyperlink xmlns:r="http://schemas.openxmlformats.org/officeDocument/2006/relationships" ref="F50" r:id="rId7"/>
    <hyperlink xmlns:r="http://schemas.openxmlformats.org/officeDocument/2006/relationships" ref="H50" r:id="rId8"/>
    <hyperlink xmlns:r="http://schemas.openxmlformats.org/officeDocument/2006/relationships" ref="B101" r:id="rId9"/>
    <hyperlink xmlns:r="http://schemas.openxmlformats.org/officeDocument/2006/relationships" ref="D101" r:id="rId10"/>
    <hyperlink xmlns:r="http://schemas.openxmlformats.org/officeDocument/2006/relationships" ref="F101" r:id="rId11"/>
    <hyperlink xmlns:r="http://schemas.openxmlformats.org/officeDocument/2006/relationships" ref="H101" r:id="rId12"/>
    <hyperlink xmlns:r="http://schemas.openxmlformats.org/officeDocument/2006/relationships" ref="B152" r:id="rId13"/>
    <hyperlink xmlns:r="http://schemas.openxmlformats.org/officeDocument/2006/relationships" ref="D152" r:id="rId14"/>
    <hyperlink xmlns:r="http://schemas.openxmlformats.org/officeDocument/2006/relationships" ref="F152" r:id="rId15"/>
    <hyperlink xmlns:r="http://schemas.openxmlformats.org/officeDocument/2006/relationships" ref="H152" r:id="rId16"/>
    <hyperlink xmlns:r="http://schemas.openxmlformats.org/officeDocument/2006/relationships" ref="B195" r:id="rId17"/>
    <hyperlink xmlns:r="http://schemas.openxmlformats.org/officeDocument/2006/relationships" ref="D195" r:id="rId18"/>
    <hyperlink xmlns:r="http://schemas.openxmlformats.org/officeDocument/2006/relationships" ref="F195" r:id="rId19"/>
    <hyperlink xmlns:r="http://schemas.openxmlformats.org/officeDocument/2006/relationships" ref="H195" r:id="rId20"/>
    <hyperlink xmlns:r="http://schemas.openxmlformats.org/officeDocument/2006/relationships" ref="B238" r:id="rId21"/>
    <hyperlink xmlns:r="http://schemas.openxmlformats.org/officeDocument/2006/relationships" ref="D238" r:id="rId22"/>
  </hyperlinks>
  <pageMargins left="0.75" right="0.75" top="1" bottom="1" header="0.5" footer="0.5"/>
  <drawing xmlns:r="http://schemas.openxmlformats.org/officeDocument/2006/relationships" r:id="rId23"/>
</worksheet>
</file>

<file path=xl/worksheets/sheet9.xml><?xml version="1.0" encoding="utf-8"?>
<worksheet xmlns="http://schemas.openxmlformats.org/spreadsheetml/2006/main">
  <sheetPr>
    <tabColor rgb="00FFC9AD"/>
    <outlinePr summaryBelow="1" summaryRight="1"/>
    <pageSetUpPr/>
  </sheetPr>
  <dimension ref="A1:G81"/>
  <sheetViews>
    <sheetView showGridLines="0" zoomScale="10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50" customWidth="1" min="4" max="4"/>
    <col width="30" customWidth="1" min="5" max="5"/>
    <col width="10" customWidth="1" min="6" max="6"/>
    <col width="10" customWidth="1" min="7" max="7"/>
  </cols>
  <sheetData>
    <row r="1">
      <c r="A1" s="1" t="inlineStr">
        <is>
          <t>Design System Tokens</t>
        </is>
      </c>
    </row>
    <row r="2">
      <c r="A2" s="2" t="inlineStr">
        <is>
          <t>From design-tokens.json / LittleStory_Figma_Design_Details.md. Proposed Compose token names – the only place these values may appear in code.</t>
        </is>
      </c>
    </row>
    <row r="4" ht="32" customHeight="1">
      <c r="A4" s="20" t="inlineStr">
        <is>
          <t>Group</t>
        </is>
      </c>
      <c r="B4" s="20" t="inlineStr">
        <is>
          <t>Token</t>
        </is>
      </c>
      <c r="C4" s="20" t="inlineStr">
        <is>
          <t>Value</t>
        </is>
      </c>
      <c r="D4" s="20" t="inlineStr">
        <is>
          <t>Used for</t>
        </is>
      </c>
      <c r="E4" s="20" t="inlineStr">
        <is>
          <t>Proposed Compose token</t>
        </is>
      </c>
      <c r="F4" s="20" t="inlineStr">
        <is>
          <t>Swatch</t>
        </is>
      </c>
    </row>
    <row r="5">
      <c r="A5" s="4" t="inlineStr">
        <is>
          <t>Colour</t>
        </is>
      </c>
      <c r="B5" s="17" t="inlineStr">
        <is>
          <t>indigo</t>
        </is>
      </c>
      <c r="C5" s="4" t="inlineStr">
        <is>
          <t>#35256F</t>
        </is>
      </c>
      <c r="D5" s="4" t="inlineStr">
        <is>
          <t>Primary buttons, hero, active nav, links</t>
        </is>
      </c>
      <c r="E5" s="4" t="inlineStr">
        <is>
          <t>LsColors.primary</t>
        </is>
      </c>
      <c r="F5" s="27" t="n"/>
    </row>
    <row r="6">
      <c r="A6" s="4" t="inlineStr">
        <is>
          <t>Colour</t>
        </is>
      </c>
      <c r="B6" s="17" t="inlineStr">
        <is>
          <t>indigo-2</t>
        </is>
      </c>
      <c r="C6" s="4" t="inlineStr">
        <is>
          <t>#4B388B</t>
        </is>
      </c>
      <c r="D6" s="4" t="inlineStr">
        <is>
          <t>Eyebrow labels</t>
        </is>
      </c>
      <c r="E6" s="4" t="inlineStr">
        <is>
          <t>LsColors.eyebrow</t>
        </is>
      </c>
      <c r="F6" s="28" t="n"/>
    </row>
    <row r="7">
      <c r="A7" s="4" t="inlineStr">
        <is>
          <t>Colour</t>
        </is>
      </c>
      <c r="B7" s="17" t="inlineStr">
        <is>
          <t>lavender</t>
        </is>
      </c>
      <c r="C7" s="4" t="inlineStr">
        <is>
          <t>#A995F5</t>
        </is>
      </c>
      <c r="D7" s="4" t="inlineStr">
        <is>
          <t>Focus ring, progress, selected outline</t>
        </is>
      </c>
      <c r="E7" s="4" t="inlineStr">
        <is>
          <t>LsColors.accent</t>
        </is>
      </c>
      <c r="F7" s="29" t="n"/>
    </row>
    <row r="8">
      <c r="A8" s="4" t="inlineStr">
        <is>
          <t>Colour</t>
        </is>
      </c>
      <c r="B8" s="17" t="inlineStr">
        <is>
          <t>soft-lavender</t>
        </is>
      </c>
      <c r="C8" s="4" t="inlineStr">
        <is>
          <t>#EAE3FF</t>
        </is>
      </c>
      <c r="D8" s="4" t="inlineStr">
        <is>
          <t>Secondary button, selected chip, nav pill, icon tiles</t>
        </is>
      </c>
      <c r="E8" s="4" t="inlineStr">
        <is>
          <t>LsColors.accentContainer</t>
        </is>
      </c>
      <c r="F8" s="30" t="n"/>
    </row>
    <row r="9">
      <c r="A9" s="4" t="inlineStr">
        <is>
          <t>Colour</t>
        </is>
      </c>
      <c r="B9" s="17" t="inlineStr">
        <is>
          <t>night</t>
        </is>
      </c>
      <c r="C9" s="4" t="inlineStr">
        <is>
          <t>#17152F</t>
        </is>
      </c>
      <c r="D9" s="4" t="inlineStr">
        <is>
          <t>Dark canvas (onboarding, generating, player, premium)</t>
        </is>
      </c>
      <c r="E9" s="4" t="inlineStr">
        <is>
          <t>LsColors.night</t>
        </is>
      </c>
      <c r="F9" s="31" t="n"/>
    </row>
    <row r="10">
      <c r="A10" s="4" t="inlineStr">
        <is>
          <t>Colour</t>
        </is>
      </c>
      <c r="B10" s="17" t="inlineStr">
        <is>
          <t>night-surface</t>
        </is>
      </c>
      <c r="C10" s="4" t="inlineStr">
        <is>
          <t>#242044</t>
        </is>
      </c>
      <c r="D10" s="4" t="inlineStr">
        <is>
          <t>Dark raised surface (featured card)</t>
        </is>
      </c>
      <c r="E10" s="4" t="inlineStr">
        <is>
          <t>LsColors.nightSurface</t>
        </is>
      </c>
      <c r="F10" s="32" t="n"/>
    </row>
    <row r="11">
      <c r="A11" s="4" t="inlineStr">
        <is>
          <t>Colour</t>
        </is>
      </c>
      <c r="B11" s="17" t="inlineStr">
        <is>
          <t>cream</t>
        </is>
      </c>
      <c r="C11" s="4" t="inlineStr">
        <is>
          <t>#FFF9F0</t>
        </is>
      </c>
      <c r="D11" s="4" t="inlineStr">
        <is>
          <t>App background</t>
        </is>
      </c>
      <c r="E11" s="4" t="inlineStr">
        <is>
          <t>LsColors.background</t>
        </is>
      </c>
      <c r="F11" s="33" t="n"/>
    </row>
    <row r="12">
      <c r="A12" s="4" t="inlineStr">
        <is>
          <t>Colour</t>
        </is>
      </c>
      <c r="B12" s="17" t="inlineStr">
        <is>
          <t>white</t>
        </is>
      </c>
      <c r="C12" s="4" t="inlineStr">
        <is>
          <t>#FFFFFF</t>
        </is>
      </c>
      <c r="D12" s="4" t="inlineStr">
        <is>
          <t>Cards, inputs</t>
        </is>
      </c>
      <c r="E12" s="4" t="inlineStr">
        <is>
          <t>LsColors.surface</t>
        </is>
      </c>
      <c r="F12" s="34" t="n"/>
    </row>
    <row r="13">
      <c r="A13" s="4" t="inlineStr">
        <is>
          <t>Colour</t>
        </is>
      </c>
      <c r="B13" s="17" t="inlineStr">
        <is>
          <t>surface</t>
        </is>
      </c>
      <c r="C13" s="4" t="inlineStr">
        <is>
          <t>#F8F5FB</t>
        </is>
      </c>
      <c r="D13" s="4" t="inlineStr">
        <is>
          <t>Segmented track</t>
        </is>
      </c>
      <c r="E13" s="4" t="inlineStr">
        <is>
          <t>LsColors.surfaceVariant</t>
        </is>
      </c>
      <c r="F13" s="35" t="n"/>
    </row>
    <row r="14">
      <c r="A14" s="4" t="inlineStr">
        <is>
          <t>Colour</t>
        </is>
      </c>
      <c r="B14" s="17" t="inlineStr">
        <is>
          <t>line</t>
        </is>
      </c>
      <c r="C14" s="4" t="inlineStr">
        <is>
          <t>#E9E4EC</t>
        </is>
      </c>
      <c r="D14" s="4" t="inlineStr">
        <is>
          <t>Borders, dividers</t>
        </is>
      </c>
      <c r="E14" s="4" t="inlineStr">
        <is>
          <t>LsColors.outline</t>
        </is>
      </c>
      <c r="F14" s="36" t="n"/>
    </row>
    <row r="15">
      <c r="A15" s="4" t="inlineStr">
        <is>
          <t>Colour</t>
        </is>
      </c>
      <c r="B15" s="17" t="inlineStr">
        <is>
          <t>yellow</t>
        </is>
      </c>
      <c r="C15" s="4" t="inlineStr">
        <is>
          <t>#FFD977</t>
        </is>
      </c>
      <c r="D15" s="4" t="inlineStr">
        <is>
          <t>Stars, moon, kickers on dark</t>
        </is>
      </c>
      <c r="E15" s="4" t="inlineStr">
        <is>
          <t>LsColors.star</t>
        </is>
      </c>
      <c r="F15" s="37" t="n"/>
    </row>
    <row r="16">
      <c r="A16" s="4" t="inlineStr">
        <is>
          <t>Colour</t>
        </is>
      </c>
      <c r="B16" s="17" t="inlineStr">
        <is>
          <t>peach</t>
        </is>
      </c>
      <c r="C16" s="4" t="inlineStr">
        <is>
          <t>#FFC9AD</t>
        </is>
      </c>
      <c r="D16" s="4" t="inlineStr">
        <is>
          <t>Lesson tile</t>
        </is>
      </c>
      <c r="E16" s="4" t="inlineStr">
        <is>
          <t>LsColors.peach</t>
        </is>
      </c>
      <c r="F16" s="38" t="n"/>
    </row>
    <row r="17">
      <c r="A17" s="4" t="inlineStr">
        <is>
          <t>Colour</t>
        </is>
      </c>
      <c r="B17" s="17" t="inlineStr">
        <is>
          <t>moon</t>
        </is>
      </c>
      <c r="C17" s="4" t="inlineStr">
        <is>
          <t>#FFF1BD</t>
        </is>
      </c>
      <c r="D17" s="4" t="inlineStr">
        <is>
          <t>Crescent moon</t>
        </is>
      </c>
      <c r="E17" s="4" t="inlineStr">
        <is>
          <t>LsColors.moon</t>
        </is>
      </c>
      <c r="F17" s="39" t="n"/>
    </row>
    <row r="18">
      <c r="A18" s="4" t="inlineStr">
        <is>
          <t>Colour</t>
        </is>
      </c>
      <c r="B18" s="17" t="inlineStr">
        <is>
          <t>text</t>
        </is>
      </c>
      <c r="C18" s="4" t="inlineStr">
        <is>
          <t>#25213A</t>
        </is>
      </c>
      <c r="D18" s="4" t="inlineStr">
        <is>
          <t>Primary text</t>
        </is>
      </c>
      <c r="E18" s="4" t="inlineStr">
        <is>
          <t>LsColors.onBackground</t>
        </is>
      </c>
      <c r="F18" s="40" t="n"/>
    </row>
    <row r="19">
      <c r="A19" s="4" t="inlineStr">
        <is>
          <t>Colour</t>
        </is>
      </c>
      <c r="B19" s="17" t="inlineStr">
        <is>
          <t>muted</t>
        </is>
      </c>
      <c r="C19" s="4" t="inlineStr">
        <is>
          <t>#716B80</t>
        </is>
      </c>
      <c r="D19" s="4" t="inlineStr">
        <is>
          <t>Secondary text (check contrast)</t>
        </is>
      </c>
      <c r="E19" s="4" t="inlineStr">
        <is>
          <t>LsColors.textMuted</t>
        </is>
      </c>
      <c r="F19" s="41" t="n"/>
    </row>
    <row r="20">
      <c r="A20" s="4" t="inlineStr">
        <is>
          <t>Colour</t>
        </is>
      </c>
      <c r="B20" s="17" t="inlineStr">
        <is>
          <t>reader-body</t>
        </is>
      </c>
      <c r="C20" s="4" t="inlineStr">
        <is>
          <t>#393348</t>
        </is>
      </c>
      <c r="D20" s="4" t="inlineStr">
        <is>
          <t>Story paragraphs</t>
        </is>
      </c>
      <c r="E20" s="4" t="inlineStr">
        <is>
          <t>LsColors.readerText</t>
        </is>
      </c>
      <c r="F20" s="42" t="n"/>
    </row>
    <row r="21">
      <c r="A21" s="4" t="inlineStr">
        <is>
          <t>Colour</t>
        </is>
      </c>
      <c r="B21" s="17" t="inlineStr">
        <is>
          <t>nav-inactive</t>
        </is>
      </c>
      <c r="C21" s="4" t="inlineStr">
        <is>
          <t>#817B8D</t>
        </is>
      </c>
      <c r="D21" s="4" t="inlineStr">
        <is>
          <t>Inactive tab labels (check contrast)</t>
        </is>
      </c>
      <c r="E21" s="4" t="inlineStr">
        <is>
          <t>LsColors.navInactive</t>
        </is>
      </c>
      <c r="F21" s="43" t="n"/>
    </row>
    <row r="22">
      <c r="A22" s="4" t="inlineStr">
        <is>
          <t>Colour</t>
        </is>
      </c>
      <c r="B22" s="17" t="inlineStr">
        <is>
          <t>success</t>
        </is>
      </c>
      <c r="C22" s="4" t="inlineStr">
        <is>
          <t>#287A54</t>
        </is>
      </c>
      <c r="D22" s="4" t="inlineStr">
        <is>
          <t>Success, toggle on, step done</t>
        </is>
      </c>
      <c r="E22" s="4" t="inlineStr">
        <is>
          <t>LsColors.success</t>
        </is>
      </c>
      <c r="F22" s="44" t="n"/>
    </row>
    <row r="23">
      <c r="A23" s="4" t="inlineStr">
        <is>
          <t>Colour</t>
        </is>
      </c>
      <c r="B23" s="17" t="inlineStr">
        <is>
          <t>success-bg</t>
        </is>
      </c>
      <c r="C23" s="4" t="inlineStr">
        <is>
          <t>#EAF5EE</t>
        </is>
      </c>
      <c r="D23" s="4" t="inlineStr">
        <is>
          <t>Trust/privacy notes</t>
        </is>
      </c>
      <c r="E23" s="4" t="inlineStr">
        <is>
          <t>LsColors.successContainer</t>
        </is>
      </c>
      <c r="F23" s="45" t="n"/>
    </row>
    <row r="24">
      <c r="A24" s="4" t="inlineStr">
        <is>
          <t>Colour</t>
        </is>
      </c>
      <c r="B24" s="17" t="inlineStr">
        <is>
          <t>error</t>
        </is>
      </c>
      <c r="C24" s="4" t="inlineStr">
        <is>
          <t>#B42318</t>
        </is>
      </c>
      <c r="D24" s="4" t="inlineStr">
        <is>
          <t>Form error</t>
        </is>
      </c>
      <c r="E24" s="4" t="inlineStr">
        <is>
          <t>LsColors.error</t>
        </is>
      </c>
      <c r="F24" s="46" t="n"/>
    </row>
    <row r="25">
      <c r="A25" s="4" t="inlineStr">
        <is>
          <t>Colour</t>
        </is>
      </c>
      <c r="B25" s="17" t="inlineStr">
        <is>
          <t>favourite</t>
        </is>
      </c>
      <c r="C25" s="4" t="inlineStr">
        <is>
          <t>#9D3158</t>
        </is>
      </c>
      <c r="D25" s="4" t="inlineStr">
        <is>
          <t>Active heart</t>
        </is>
      </c>
      <c r="E25" s="4" t="inlineStr">
        <is>
          <t>LsColors.favourite</t>
        </is>
      </c>
      <c r="F25" s="47" t="n"/>
    </row>
    <row r="26">
      <c r="A26" s="4" t="inlineStr">
        <is>
          <t>Colour</t>
        </is>
      </c>
      <c r="B26" s="17" t="inlineStr">
        <is>
          <t>favourite-bg</t>
        </is>
      </c>
      <c r="C26" s="4" t="inlineStr">
        <is>
          <t>#FFEDF2</t>
        </is>
      </c>
      <c r="D26" s="4" t="inlineStr">
        <is>
          <t>Active heart background</t>
        </is>
      </c>
      <c r="E26" s="4" t="inlineStr">
        <is>
          <t>LsColors.favouriteContainer</t>
        </is>
      </c>
      <c r="F26" s="48" t="n"/>
    </row>
    <row r="27">
      <c r="A27" s="4" t="inlineStr">
        <is>
          <t>Story art</t>
        </is>
      </c>
      <c r="B27" s="17" t="inlineStr">
        <is>
          <t>friendship</t>
        </is>
      </c>
      <c r="C27" s="4" t="inlineStr">
        <is>
          <t>#F6B995 → #694B91</t>
        </is>
      </c>
      <c r="D27" s="4" t="inlineStr">
        <is>
          <t>Gradient 145°</t>
        </is>
      </c>
      <c r="E27" s="4" t="inlineStr">
        <is>
          <t>StoryPalette.Friendship</t>
        </is>
      </c>
      <c r="F27" s="49" t="n"/>
      <c r="G27" s="50" t="n"/>
    </row>
    <row r="28">
      <c r="A28" s="4" t="inlineStr">
        <is>
          <t>Story art</t>
        </is>
      </c>
      <c r="B28" s="17" t="inlineStr">
        <is>
          <t>adventure</t>
        </is>
      </c>
      <c r="C28" s="4" t="inlineStr">
        <is>
          <t>#6252A6 → #F2A978</t>
        </is>
      </c>
      <c r="D28" s="4" t="inlineStr">
        <is>
          <t>Gradient 145°</t>
        </is>
      </c>
      <c r="E28" s="4" t="inlineStr">
        <is>
          <t>StoryPalette.Adventure</t>
        </is>
      </c>
      <c r="F28" s="51" t="n"/>
      <c r="G28" s="52" t="n"/>
    </row>
    <row r="29">
      <c r="A29" s="4" t="inlineStr">
        <is>
          <t>Story art</t>
        </is>
      </c>
      <c r="B29" s="17" t="inlineStr">
        <is>
          <t>bedtime</t>
        </is>
      </c>
      <c r="C29" s="4" t="inlineStr">
        <is>
          <t>#32306D → #9F91E9</t>
        </is>
      </c>
      <c r="D29" s="4" t="inlineStr">
        <is>
          <t>Gradient 145°</t>
        </is>
      </c>
      <c r="E29" s="4" t="inlineStr">
        <is>
          <t>StoryPalette.Bedtime</t>
        </is>
      </c>
      <c r="F29" s="53" t="n"/>
      <c r="G29" s="54" t="n"/>
    </row>
    <row r="30">
      <c r="A30" s="4" t="inlineStr">
        <is>
          <t>Story art</t>
        </is>
      </c>
      <c r="B30" s="17" t="inlineStr">
        <is>
          <t>indianTales</t>
        </is>
      </c>
      <c r="C30" s="4" t="inlineStr">
        <is>
          <t>#47796B → #EFBB69</t>
        </is>
      </c>
      <c r="D30" s="4" t="inlineStr">
        <is>
          <t>Gradient 145°</t>
        </is>
      </c>
      <c r="E30" s="4" t="inlineStr">
        <is>
          <t>StoryPalette.IndianTales</t>
        </is>
      </c>
      <c r="F30" s="55" t="n"/>
      <c r="G30" s="56" t="n"/>
    </row>
    <row r="31">
      <c r="A31" s="4" t="inlineStr">
        <is>
          <t>Story art</t>
        </is>
      </c>
      <c r="B31" s="17" t="inlineStr">
        <is>
          <t>space</t>
        </is>
      </c>
      <c r="C31" s="4" t="inlineStr">
        <is>
          <t>#25285D → #DB82A6</t>
        </is>
      </c>
      <c r="D31" s="4" t="inlineStr">
        <is>
          <t>Gradient 145°</t>
        </is>
      </c>
      <c r="E31" s="4" t="inlineStr">
        <is>
          <t>StoryPalette.Space</t>
        </is>
      </c>
      <c r="F31" s="57" t="n"/>
      <c r="G31" s="58" t="n"/>
    </row>
    <row r="32">
      <c r="A32" s="4" t="inlineStr">
        <is>
          <t>Story art</t>
        </is>
      </c>
      <c r="B32" s="17" t="inlineStr">
        <is>
          <t>festivals</t>
        </is>
      </c>
      <c r="C32" s="4" t="inlineStr">
        <is>
          <t>#B15B54 → #F5C568</t>
        </is>
      </c>
      <c r="D32" s="4" t="inlineStr">
        <is>
          <t>Gradient 145°</t>
        </is>
      </c>
      <c r="E32" s="4" t="inlineStr">
        <is>
          <t>StoryPalette.Festivals</t>
        </is>
      </c>
      <c r="F32" s="59" t="n"/>
      <c r="G32" s="60" t="n"/>
    </row>
    <row r="33">
      <c r="A33" s="4" t="inlineStr">
        <is>
          <t>Typography</t>
        </is>
      </c>
      <c r="B33" s="17" t="inlineStr">
        <is>
          <t>Body family</t>
        </is>
      </c>
      <c r="C33" s="4" t="inlineStr">
        <is>
          <t>DM Sans 400/500/600/700</t>
        </is>
      </c>
      <c r="D33" s="4" t="inlineStr">
        <is>
          <t>Body, buttons, labels</t>
        </is>
      </c>
      <c r="E33" s="4" t="inlineStr">
        <is>
          <t>LsFonts.body</t>
        </is>
      </c>
    </row>
    <row r="34">
      <c r="A34" s="4" t="inlineStr">
        <is>
          <t>Typography</t>
        </is>
      </c>
      <c r="B34" s="17" t="inlineStr">
        <is>
          <t>Display family</t>
        </is>
      </c>
      <c r="C34" s="4" t="inlineStr">
        <is>
          <t>Manrope 500/600/700/800</t>
        </is>
      </c>
      <c r="D34" s="4" t="inlineStr">
        <is>
          <t>Headings, brand, top bar, reader paragraphs</t>
        </is>
      </c>
      <c r="E34" s="4" t="inlineStr">
        <is>
          <t>LsFonts.display</t>
        </is>
      </c>
    </row>
    <row r="35">
      <c r="A35" s="4" t="inlineStr">
        <is>
          <t>Typography</t>
        </is>
      </c>
      <c r="B35" s="17" t="inlineStr">
        <is>
          <t>Kannada fallback</t>
        </is>
      </c>
      <c r="C35" s="4" t="inlineStr">
        <is>
          <t>Noto Sans Kannada (proposed)</t>
        </is>
      </c>
      <c r="D35" s="4" t="inlineStr">
        <is>
          <t>Kannada glyphs (ADR-008)</t>
        </is>
      </c>
      <c r="E35" s="4" t="inlineStr">
        <is>
          <t>LsFonts.kannada</t>
        </is>
      </c>
    </row>
    <row r="36">
      <c r="A36" s="4" t="inlineStr">
        <is>
          <t>Typography</t>
        </is>
      </c>
      <c r="B36" s="17" t="inlineStr">
        <is>
          <t>onboarding-title</t>
        </is>
      </c>
      <c r="C36" s="4" t="inlineStr">
        <is>
          <t>29sp / 1.12, −0.8 tracking, Manrope</t>
        </is>
      </c>
      <c r="D36" s="4" t="inlineStr">
        <is>
          <t>Onboarding title</t>
        </is>
      </c>
      <c r="E36" s="4" t="inlineStr">
        <is>
          <t>LsType.displayLarge</t>
        </is>
      </c>
    </row>
    <row r="37">
      <c r="A37" s="4" t="inlineStr">
        <is>
          <t>Typography</t>
        </is>
      </c>
      <c r="B37" s="17" t="inlineStr">
        <is>
          <t>setup-title</t>
        </is>
      </c>
      <c r="C37" s="4" t="inlineStr">
        <is>
          <t>29sp / 1.18, −0.8</t>
        </is>
      </c>
      <c r="D37" s="4" t="inlineStr">
        <is>
          <t>Setup title</t>
        </is>
      </c>
      <c r="E37" s="4" t="inlineStr">
        <is>
          <t>LsType.displayMedium</t>
        </is>
      </c>
    </row>
    <row r="38">
      <c r="A38" s="4" t="inlineStr">
        <is>
          <t>Typography</t>
        </is>
      </c>
      <c r="B38" s="17" t="inlineStr">
        <is>
          <t>hero-title</t>
        </is>
      </c>
      <c r="C38" s="4" t="inlineStr">
        <is>
          <t>25sp / 1.12, −0.7 (22sp compact)</t>
        </is>
      </c>
      <c r="D38" s="4" t="inlineStr">
        <is>
          <t>Home hero</t>
        </is>
      </c>
      <c r="E38" s="4" t="inlineStr">
        <is>
          <t>LsType.headlineLarge</t>
        </is>
      </c>
    </row>
    <row r="39">
      <c r="A39" s="4" t="inlineStr">
        <is>
          <t>Typography</t>
        </is>
      </c>
      <c r="B39" s="17" t="inlineStr">
        <is>
          <t>home-title</t>
        </is>
      </c>
      <c r="C39" s="4" t="inlineStr">
        <is>
          <t>21sp, −0.5</t>
        </is>
      </c>
      <c r="D39" s="4" t="inlineStr">
        <is>
          <t>Home greeting</t>
        </is>
      </c>
      <c r="E39" s="4" t="inlineStr">
        <is>
          <t>LsType.headlineMedium</t>
        </is>
      </c>
    </row>
    <row r="40">
      <c r="A40" s="4" t="inlineStr">
        <is>
          <t>Typography</t>
        </is>
      </c>
      <c r="B40" s="17" t="inlineStr">
        <is>
          <t>topbar-title</t>
        </is>
      </c>
      <c r="C40" s="4" t="inlineStr">
        <is>
          <t>17sp, 800</t>
        </is>
      </c>
      <c r="D40" s="4" t="inlineStr">
        <is>
          <t>Top bar title</t>
        </is>
      </c>
      <c r="E40" s="4" t="inlineStr">
        <is>
          <t>LsType.titleLarge</t>
        </is>
      </c>
    </row>
    <row r="41">
      <c r="A41" s="4" t="inlineStr">
        <is>
          <t>Typography</t>
        </is>
      </c>
      <c r="B41" s="17" t="inlineStr">
        <is>
          <t>brand-name</t>
        </is>
      </c>
      <c r="C41" s="4" t="inlineStr">
        <is>
          <t>18sp, 800, −0.5</t>
        </is>
      </c>
      <c r="D41" s="4" t="inlineStr">
        <is>
          <t>Wordmark</t>
        </is>
      </c>
      <c r="E41" s="4" t="inlineStr">
        <is>
          <t>LsType.brand</t>
        </is>
      </c>
    </row>
    <row r="42">
      <c r="A42" s="4" t="inlineStr">
        <is>
          <t>Typography</t>
        </is>
      </c>
      <c r="B42" s="17" t="inlineStr">
        <is>
          <t>body-large</t>
        </is>
      </c>
      <c r="C42" s="4" t="inlineStr">
        <is>
          <t>15sp / 1.55</t>
        </is>
      </c>
      <c r="D42" s="4" t="inlineStr">
        <is>
          <t>Onboarding body</t>
        </is>
      </c>
      <c r="E42" s="4" t="inlineStr">
        <is>
          <t>LsType.bodyLarge</t>
        </is>
      </c>
    </row>
    <row r="43">
      <c r="A43" s="4" t="inlineStr">
        <is>
          <t>Typography</t>
        </is>
      </c>
      <c r="B43" s="17" t="inlineStr">
        <is>
          <t>reader-body</t>
        </is>
      </c>
      <c r="C43" s="4" t="inlineStr">
        <is>
          <t>16sp / 1.95, Manrope, scale 0.9–1.3</t>
        </is>
      </c>
      <c r="D43" s="4" t="inlineStr">
        <is>
          <t>Reader paragraph</t>
        </is>
      </c>
      <c r="E43" s="4" t="inlineStr">
        <is>
          <t>LsType.reader</t>
        </is>
      </c>
    </row>
    <row r="44">
      <c r="A44" s="4" t="inlineStr">
        <is>
          <t>Typography</t>
        </is>
      </c>
      <c r="B44" s="17" t="inlineStr">
        <is>
          <t>chip</t>
        </is>
      </c>
      <c r="C44" s="4" t="inlineStr">
        <is>
          <t>12sp, 600</t>
        </is>
      </c>
      <c r="D44" s="4" t="inlineStr">
        <is>
          <t>Chips</t>
        </is>
      </c>
      <c r="E44" s="4" t="inlineStr">
        <is>
          <t>LsType.labelLarge</t>
        </is>
      </c>
    </row>
    <row r="45">
      <c r="A45" s="4" t="inlineStr">
        <is>
          <t>Typography</t>
        </is>
      </c>
      <c r="B45" s="17" t="inlineStr">
        <is>
          <t>eyebrow</t>
        </is>
      </c>
      <c r="C45" s="4" t="inlineStr">
        <is>
          <t>10sp, 800, +1.6, uppercase</t>
        </is>
      </c>
      <c r="D45" s="4" t="inlineStr">
        <is>
          <t>Eyebrows</t>
        </is>
      </c>
      <c r="E45" s="4" t="inlineStr">
        <is>
          <t>LsType.eyebrow</t>
        </is>
      </c>
    </row>
    <row r="46">
      <c r="A46" s="4" t="inlineStr">
        <is>
          <t>Typography</t>
        </is>
      </c>
      <c r="B46" s="17" t="inlineStr">
        <is>
          <t>hero-kicker</t>
        </is>
      </c>
      <c r="C46" s="4" t="inlineStr">
        <is>
          <t>9sp, 800, +1.4</t>
        </is>
      </c>
      <c r="D46" s="4" t="inlineStr">
        <is>
          <t>Hero kicker</t>
        </is>
      </c>
      <c r="E46" s="4" t="inlineStr">
        <is>
          <t>LsType.kicker</t>
        </is>
      </c>
    </row>
    <row r="47">
      <c r="A47" s="4" t="inlineStr">
        <is>
          <t>Typography</t>
        </is>
      </c>
      <c r="B47" s="17" t="inlineStr">
        <is>
          <t>nav-label</t>
        </is>
      </c>
      <c r="C47" s="4" t="inlineStr">
        <is>
          <t>10sp, 600</t>
        </is>
      </c>
      <c r="D47" s="4" t="inlineStr">
        <is>
          <t>Bottom nav labels</t>
        </is>
      </c>
      <c r="E47" s="4" t="inlineStr">
        <is>
          <t>LsType.labelSmall</t>
        </is>
      </c>
    </row>
    <row r="48">
      <c r="A48" s="4" t="inlineStr">
        <is>
          <t>Shape</t>
        </is>
      </c>
      <c r="B48" s="17" t="inlineStr">
        <is>
          <t>radius lg / md / sm</t>
        </is>
      </c>
      <c r="C48" s="4" t="inlineStr">
        <is>
          <t>24 / 18 / 13</t>
        </is>
      </c>
      <c r="D48" s="4" t="inlineStr">
        <is>
          <t>Cards, inputs</t>
        </is>
      </c>
      <c r="E48" s="4" t="inlineStr">
        <is>
          <t>LsShapes.large/medium/small</t>
        </is>
      </c>
    </row>
    <row r="49">
      <c r="A49" s="4" t="inlineStr">
        <is>
          <t>Shape</t>
        </is>
      </c>
      <c r="B49" s="17" t="inlineStr">
        <is>
          <t>button</t>
        </is>
      </c>
      <c r="C49" s="4" t="inlineStr">
        <is>
          <t>16</t>
        </is>
      </c>
      <c r="D49" s="4" t="inlineStr">
        <is>
          <t>Buttons (52dp min height)</t>
        </is>
      </c>
      <c r="E49" s="4" t="inlineStr">
        <is>
          <t>LsShapes.button</t>
        </is>
      </c>
    </row>
    <row r="50">
      <c r="A50" s="4" t="inlineStr">
        <is>
          <t>Shape</t>
        </is>
      </c>
      <c r="B50" s="17" t="inlineStr">
        <is>
          <t>hero</t>
        </is>
      </c>
      <c r="C50" s="4" t="inlineStr">
        <is>
          <t>26</t>
        </is>
      </c>
      <c r="D50" s="4" t="inlineStr">
        <is>
          <t>Home hero</t>
        </is>
      </c>
      <c r="E50" s="4" t="inlineStr">
        <is>
          <t>LsShapes.hero</t>
        </is>
      </c>
    </row>
    <row r="51">
      <c r="A51" s="4" t="inlineStr">
        <is>
          <t>Shape</t>
        </is>
      </c>
      <c r="B51" s="17" t="inlineStr">
        <is>
          <t>sheet</t>
        </is>
      </c>
      <c r="C51" s="4" t="inlineStr">
        <is>
          <t>32 top corners</t>
        </is>
      </c>
      <c r="D51" s="4" t="inlineStr">
        <is>
          <t>Onboarding sheet, bottom sheets</t>
        </is>
      </c>
      <c r="E51" s="4" t="inlineStr">
        <is>
          <t>LsShapes.sheet</t>
        </is>
      </c>
    </row>
    <row r="52">
      <c r="A52" s="4" t="inlineStr">
        <is>
          <t>Shape</t>
        </is>
      </c>
      <c r="B52" s="17" t="inlineStr">
        <is>
          <t>chip</t>
        </is>
      </c>
      <c r="C52" s="4" t="inlineStr">
        <is>
          <t>20 (pill)</t>
        </is>
      </c>
      <c r="D52" s="4" t="inlineStr">
        <is>
          <t>Chips, tabs</t>
        </is>
      </c>
      <c r="E52" s="4" t="inlineStr">
        <is>
          <t>LsShapes.chip</t>
        </is>
      </c>
    </row>
    <row r="53">
      <c r="A53" s="4" t="inlineStr">
        <is>
          <t>Shape</t>
        </is>
      </c>
      <c r="B53" s="17" t="inlineStr">
        <is>
          <t>avatar</t>
        </is>
      </c>
      <c r="C53" s="4" t="inlineStr">
        <is>
          <t>15 (large 19)</t>
        </is>
      </c>
      <c r="D53" s="4" t="inlineStr">
        <is>
          <t>Avatar</t>
        </is>
      </c>
      <c r="E53" s="4" t="inlineStr">
        <is>
          <t>LsShapes.avatar</t>
        </is>
      </c>
    </row>
    <row r="54">
      <c r="A54" s="4" t="inlineStr">
        <is>
          <t>Elevation</t>
        </is>
      </c>
      <c r="B54" s="17" t="inlineStr">
        <is>
          <t>shadow</t>
        </is>
      </c>
      <c r="C54" s="4" t="inlineStr">
        <is>
          <t>0 12 30 #2318461C</t>
        </is>
      </c>
      <c r="D54" s="4" t="inlineStr">
        <is>
          <t>Raised</t>
        </is>
      </c>
      <c r="E54" s="4" t="inlineStr">
        <is>
          <t>LsElevation.raised</t>
        </is>
      </c>
    </row>
    <row r="55">
      <c r="A55" s="4" t="inlineStr">
        <is>
          <t>Elevation</t>
        </is>
      </c>
      <c r="B55" s="17" t="inlineStr">
        <is>
          <t>shadow-soft</t>
        </is>
      </c>
      <c r="C55" s="4" t="inlineStr">
        <is>
          <t>0 5 18 #23184614</t>
        </is>
      </c>
      <c r="D55" s="4" t="inlineStr">
        <is>
          <t>Cards</t>
        </is>
      </c>
      <c r="E55" s="4" t="inlineStr">
        <is>
          <t>LsElevation.soft</t>
        </is>
      </c>
    </row>
    <row r="56">
      <c r="A56" s="4" t="inlineStr">
        <is>
          <t>Elevation</t>
        </is>
      </c>
      <c r="B56" s="17" t="inlineStr">
        <is>
          <t>primary-button</t>
        </is>
      </c>
      <c r="C56" s="4" t="inlineStr">
        <is>
          <t>0 8 18 #35256F33</t>
        </is>
      </c>
      <c r="D56" s="4" t="inlineStr">
        <is>
          <t>Primary button</t>
        </is>
      </c>
      <c r="E56" s="4" t="inlineStr">
        <is>
          <t>LsElevation.button</t>
        </is>
      </c>
    </row>
    <row r="57">
      <c r="A57" s="4" t="inlineStr">
        <is>
          <t>Elevation</t>
        </is>
      </c>
      <c r="B57" s="17" t="inlineStr">
        <is>
          <t>hero</t>
        </is>
      </c>
      <c r="C57" s="4" t="inlineStr">
        <is>
          <t>0 16 30 #35256F33</t>
        </is>
      </c>
      <c r="D57" s="4" t="inlineStr">
        <is>
          <t>Hero card</t>
        </is>
      </c>
      <c r="E57" s="4" t="inlineStr">
        <is>
          <t>LsElevation.hero</t>
        </is>
      </c>
    </row>
    <row r="58">
      <c r="A58" s="4" t="inlineStr">
        <is>
          <t>Layout</t>
        </is>
      </c>
      <c r="B58" s="17" t="inlineStr">
        <is>
          <t>topbar-height</t>
        </is>
      </c>
      <c r="C58" s="4" t="inlineStr">
        <is>
          <t>68dp</t>
        </is>
      </c>
      <c r="D58" s="4" t="inlineStr">
        <is>
          <t>Top bar</t>
        </is>
      </c>
      <c r="E58" s="4" t="inlineStr">
        <is>
          <t>LsDimens.topBarHeight</t>
        </is>
      </c>
    </row>
    <row r="59">
      <c r="A59" s="4" t="inlineStr">
        <is>
          <t>Layout</t>
        </is>
      </c>
      <c r="B59" s="17" t="inlineStr">
        <is>
          <t>bottom-nav-height</t>
        </is>
      </c>
      <c r="C59" s="4" t="inlineStr">
        <is>
          <t>76dp + inset</t>
        </is>
      </c>
      <c r="D59" s="4" t="inlineStr">
        <is>
          <t>Bottom nav</t>
        </is>
      </c>
      <c r="E59" s="4" t="inlineStr">
        <is>
          <t>LsDimens.bottomNavHeight</t>
        </is>
      </c>
    </row>
    <row r="60">
      <c r="A60" s="4" t="inlineStr">
        <is>
          <t>Layout</t>
        </is>
      </c>
      <c r="B60" s="17" t="inlineStr">
        <is>
          <t>content-padding</t>
        </is>
      </c>
      <c r="C60" s="4" t="inlineStr">
        <is>
          <t>6 / 20 / 28 (16 sides compact)</t>
        </is>
      </c>
      <c r="D60" s="4" t="inlineStr">
        <is>
          <t>Page content</t>
        </is>
      </c>
      <c r="E60" s="4" t="inlineStr">
        <is>
          <t>LsDimens.contentPadding</t>
        </is>
      </c>
    </row>
    <row r="61">
      <c r="A61" s="4" t="inlineStr">
        <is>
          <t>Layout</t>
        </is>
      </c>
      <c r="B61" s="17" t="inlineStr">
        <is>
          <t>icon-button</t>
        </is>
      </c>
      <c r="C61" s="4" t="inlineStr">
        <is>
          <t>42dp visual / ≥48dp touch</t>
        </is>
      </c>
      <c r="D61" s="4" t="inlineStr">
        <is>
          <t>Icon buttons</t>
        </is>
      </c>
      <c r="E61" s="4" t="inlineStr">
        <is>
          <t>LsDimens.iconButton</t>
        </is>
      </c>
    </row>
    <row r="62">
      <c r="A62" s="4" t="inlineStr">
        <is>
          <t>Layout</t>
        </is>
      </c>
      <c r="B62" s="17" t="inlineStr">
        <is>
          <t>breakpoints</t>
        </is>
      </c>
      <c r="C62" s="4" t="inlineStr">
        <is>
          <t>≤360dp compact; ≥900dp tall</t>
        </is>
      </c>
      <c r="D62" s="4" t="inlineStr">
        <is>
          <t>Responsive</t>
        </is>
      </c>
      <c r="E62" s="4" t="inlineStr">
        <is>
          <t>WindowSizeClass</t>
        </is>
      </c>
    </row>
    <row r="63">
      <c r="A63" s="4" t="inlineStr">
        <is>
          <t>Motion</t>
        </is>
      </c>
      <c r="B63" s="17" t="inlineStr">
        <is>
          <t>twinkle</t>
        </is>
      </c>
      <c r="C63" s="4" t="inlineStr">
        <is>
          <t>2.4s / 1.7s / 1.1s alternate infinite</t>
        </is>
      </c>
      <c r="D63" s="4" t="inlineStr">
        <is>
          <t>Stars (respect reduced motion)</t>
        </is>
      </c>
      <c r="E63" s="4" t="inlineStr">
        <is>
          <t>LsMotion.twinkle*</t>
        </is>
      </c>
    </row>
    <row r="64">
      <c r="A64" s="4" t="inlineStr">
        <is>
          <t>Motion</t>
        </is>
      </c>
      <c r="B64" s="17" t="inlineStr">
        <is>
          <t>button press</t>
        </is>
      </c>
      <c r="C64" s="4" t="inlineStr">
        <is>
          <t>180ms, scale .98</t>
        </is>
      </c>
      <c r="D64" s="4" t="inlineStr">
        <is>
          <t>Buttons</t>
        </is>
      </c>
      <c r="E64" s="4" t="inlineStr">
        <is>
          <t>LsMotion.press</t>
        </is>
      </c>
    </row>
    <row r="65">
      <c r="A65" s="4" t="inlineStr">
        <is>
          <t>Motion</t>
        </is>
      </c>
      <c r="B65" s="17" t="inlineStr">
        <is>
          <t>toggle / icon state / chevron</t>
        </is>
      </c>
      <c r="C65" s="4" t="inlineStr">
        <is>
          <t>200ms</t>
        </is>
      </c>
      <c r="D65" s="4" t="inlineStr">
        <is>
          <t>Toggles, icon buttons, more options</t>
        </is>
      </c>
      <c r="E65" s="4" t="inlineStr">
        <is>
          <t>LsMotion.short</t>
        </is>
      </c>
    </row>
    <row r="66">
      <c r="A66" s="4" t="inlineStr">
        <is>
          <t>Motion</t>
        </is>
      </c>
      <c r="B66" s="17" t="inlineStr">
        <is>
          <t>reading progress</t>
        </is>
      </c>
      <c r="C66" s="4" t="inlineStr">
        <is>
          <t>300ms</t>
        </is>
      </c>
      <c r="D66" s="4" t="inlineStr">
        <is>
          <t>Reader bar</t>
        </is>
      </c>
      <c r="E66" s="4" t="inlineStr">
        <is>
          <t>LsMotion.medium</t>
        </is>
      </c>
    </row>
    <row r="68">
      <c r="A68" s="6" t="inlineStr">
        <is>
          <t>Components (design pack §2)</t>
        </is>
      </c>
    </row>
    <row r="69" ht="32" customHeight="1">
      <c r="A69" s="20" t="inlineStr">
        <is>
          <t>Component</t>
        </is>
      </c>
      <c r="B69" s="20" t="inlineStr">
        <is>
          <t>Spec</t>
        </is>
      </c>
      <c r="C69" s="20" t="inlineStr">
        <is>
          <t>Ticket</t>
        </is>
      </c>
    </row>
    <row r="70">
      <c r="A70" s="17" t="inlineStr">
        <is>
          <t>Button</t>
        </is>
      </c>
      <c r="B70" s="4" t="inlineStr">
        <is>
          <t>primary / secondary / ghost, 52dp, radius 16, disabled 45%</t>
        </is>
      </c>
      <c r="C70" s="4" t="inlineStr">
        <is>
          <t>LS-015</t>
        </is>
      </c>
    </row>
    <row r="71">
      <c r="A71" s="17" t="inlineStr">
        <is>
          <t>IconButton</t>
        </is>
      </c>
      <c r="B71" s="4" t="inlineStr">
        <is>
          <t>42dp circle, active favourite rose</t>
        </is>
      </c>
      <c r="C71" s="4" t="inlineStr">
        <is>
          <t>LS-015</t>
        </is>
      </c>
    </row>
    <row r="72">
      <c r="A72" s="17" t="inlineStr">
        <is>
          <t>TopBar / BottomNav</t>
        </is>
      </c>
      <c r="B72" s="4" t="inlineStr">
        <is>
          <t>68dp bar; 5 tabs, raised Create tile</t>
        </is>
      </c>
      <c r="C72" s="4" t="inlineStr">
        <is>
          <t>LS-019</t>
        </is>
      </c>
    </row>
    <row r="73">
      <c r="A73" s="17" t="inlineStr">
        <is>
          <t>SectionHeader</t>
        </is>
      </c>
      <c r="B73" s="4" t="inlineStr">
        <is>
          <t>Manrope title + See all</t>
        </is>
      </c>
      <c r="C73" s="4" t="inlineStr">
        <is>
          <t>LS-018</t>
        </is>
      </c>
    </row>
    <row r="74">
      <c r="A74" s="17" t="inlineStr">
        <is>
          <t>StoryCard / ListStoryRow / ContinueCard</t>
        </is>
      </c>
      <c r="B74" s="4" t="inlineStr">
        <is>
          <t>Cover art + meta + heart/play</t>
        </is>
      </c>
      <c r="C74" s="4" t="inlineStr">
        <is>
          <t>LS-018</t>
        </is>
      </c>
    </row>
    <row r="75">
      <c r="A75" s="17" t="inlineStr">
        <is>
          <t>Chips / Segmented / Toggle / Search / Tabs</t>
        </is>
      </c>
      <c r="B75" s="4" t="inlineStr">
        <is>
          <t>Selected = soft-lavender</t>
        </is>
      </c>
      <c r="C75" s="4" t="inlineStr">
        <is>
          <t>LS-016</t>
        </is>
      </c>
    </row>
    <row r="76">
      <c r="A76" s="17" t="inlineStr">
        <is>
          <t>Form card &amp; inputs</t>
        </is>
      </c>
      <c r="B76" s="4" t="inlineStr">
        <is>
          <t>48dp inputs, radius 13, lavender focus</t>
        </is>
      </c>
      <c r="C76" s="4" t="inlineStr">
        <is>
          <t>LS-016</t>
        </is>
      </c>
    </row>
    <row r="77">
      <c r="A77" s="17" t="inlineStr">
        <is>
          <t>Avatar</t>
        </is>
      </c>
      <c r="B77" s="4" t="inlineStr">
        <is>
          <t>CSS-drawn face, selected outline</t>
        </is>
      </c>
      <c r="C77" s="4" t="inlineStr">
        <is>
          <t>LS-018</t>
        </is>
      </c>
    </row>
    <row r="78">
      <c r="A78" s="17" t="inlineStr">
        <is>
          <t>Bottom sheet / Dialog / Toast / Empty state / Notes banner</t>
        </is>
      </c>
      <c r="B78" s="4" t="inlineStr">
        <is>
          <t>See spec</t>
        </is>
      </c>
      <c r="C78" s="4" t="inlineStr">
        <is>
          <t>LS-017</t>
        </is>
      </c>
    </row>
    <row r="79">
      <c r="A79" s="17" t="inlineStr">
        <is>
          <t>Progress bars</t>
        </is>
      </c>
      <c r="B79" s="4" t="inlineStr">
        <is>
          <t>Reading, generation, playback, storage</t>
        </is>
      </c>
      <c r="C79" s="4" t="inlineStr">
        <is>
          <t>LS-017</t>
        </is>
      </c>
    </row>
    <row r="80">
      <c r="A80" s="17" t="inlineStr">
        <is>
          <t>StoryArt illustration</t>
        </is>
      </c>
      <c r="B80" s="4" t="inlineStr">
        <is>
          <t>Gradient + moon + stars + hill + motif</t>
        </is>
      </c>
      <c r="C80" s="4" t="inlineStr">
        <is>
          <t>LS-018</t>
        </is>
      </c>
    </row>
    <row r="81">
      <c r="A81" s="17" t="inlineStr">
        <is>
          <t>Brand mark</t>
        </is>
      </c>
      <c r="B81" s="4" t="inlineStr">
        <is>
          <t>LittleStory wordmark + symbol, light variant</t>
        </is>
      </c>
      <c r="C81" s="4" t="inlineStr">
        <is>
          <t>LS-014</t>
        </is>
      </c>
    </row>
  </sheetData>
  <autoFilter ref="A4:E6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AE3FF"/>
    <outlinePr summaryBelow="1" summaryRight="1"/>
    <pageSetUpPr/>
  </sheetPr>
  <dimension ref="A1:J43"/>
  <sheetViews>
    <sheetView zoomScale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  <col width="60" customWidth="1" min="4" max="4"/>
    <col width="9" customWidth="1" min="5" max="5"/>
    <col width="26" customWidth="1" min="6" max="6"/>
    <col width="26" customWidth="1" min="7" max="7"/>
    <col width="30" customWidth="1" min="8" max="8"/>
    <col width="26" customWidth="1" min="9" max="9"/>
    <col width="22" customWidth="1" min="10" max="10"/>
  </cols>
  <sheetData>
    <row r="1" ht="32" customHeight="1">
      <c r="A1" s="20" t="inlineStr">
        <is>
          <t>Req ID</t>
        </is>
      </c>
      <c r="B1" s="20" t="inlineStr">
        <is>
          <t>Type</t>
        </is>
      </c>
      <c r="C1" s="20" t="inlineStr">
        <is>
          <t>Title</t>
        </is>
      </c>
      <c r="D1" s="20" t="inlineStr">
        <is>
          <t>Description</t>
        </is>
      </c>
      <c r="E1" s="20" t="inlineStr">
        <is>
          <t>MoSCoW</t>
        </is>
      </c>
      <c r="F1" s="20" t="inlineStr">
        <is>
          <t>Source</t>
        </is>
      </c>
      <c r="G1" s="20" t="inlineStr">
        <is>
          <t>Related Screens</t>
        </is>
      </c>
      <c r="H1" s="20" t="inlineStr">
        <is>
          <t>Tickets</t>
        </is>
      </c>
      <c r="I1" s="20" t="inlineStr">
        <is>
          <t>Test Cases</t>
        </is>
      </c>
      <c r="J1" s="20" t="inlineStr">
        <is>
          <t>Status</t>
        </is>
      </c>
    </row>
    <row r="2" ht="31" customHeight="1">
      <c r="A2" s="17" t="inlineStr">
        <is>
          <t>FR-01</t>
        </is>
      </c>
      <c r="B2" s="4" t="inlineStr">
        <is>
          <t>Functional</t>
        </is>
      </c>
      <c r="C2" s="4" t="inlineStr">
        <is>
          <t>Onboarding</t>
        </is>
      </c>
      <c r="D2" s="4" t="inlineStr">
        <is>
          <t>3-slide intro with Skip, Continue and Get Started leading to Setup</t>
        </is>
      </c>
      <c r="E2" s="4" t="inlineStr">
        <is>
          <t>Must</t>
        </is>
      </c>
      <c r="F2" s="4" t="inlineStr">
        <is>
          <t>Design SCR-01</t>
        </is>
      </c>
      <c r="G2" s="4" t="inlineStr">
        <is>
          <t>SCR-01</t>
        </is>
      </c>
      <c r="H2" s="4" t="inlineStr">
        <is>
          <t>LS-060</t>
        </is>
      </c>
      <c r="I2" s="4" t="inlineStr">
        <is>
          <t>TC-001, TC-002</t>
        </is>
      </c>
      <c r="J2" s="4" t="inlineStr">
        <is>
          <t>Proposed – awaiting owner review</t>
        </is>
      </c>
    </row>
    <row r="3" ht="31" customHeight="1">
      <c r="A3" s="17" t="inlineStr">
        <is>
          <t>FR-02</t>
        </is>
      </c>
      <c r="B3" s="4" t="inlineStr">
        <is>
          <t>Functional</t>
        </is>
      </c>
      <c r="C3" s="4" t="inlineStr">
        <is>
          <t>Child profile setup</t>
        </is>
      </c>
      <c r="D3" s="4" t="inlineStr">
        <is>
          <t>Capture parent name, child name, avatar, age 3–12, language, optional interests and default duration</t>
        </is>
      </c>
      <c r="E3" s="4" t="inlineStr">
        <is>
          <t>Must</t>
        </is>
      </c>
      <c r="F3" s="4" t="inlineStr">
        <is>
          <t>Design SCR-02</t>
        </is>
      </c>
      <c r="G3" s="4" t="inlineStr">
        <is>
          <t>SCR-02</t>
        </is>
      </c>
      <c r="H3" s="4" t="inlineStr">
        <is>
          <t>LS-061, LS-062</t>
        </is>
      </c>
      <c r="I3" s="4" t="inlineStr">
        <is>
          <t>TC-004, TC-005</t>
        </is>
      </c>
      <c r="J3" s="4" t="inlineStr">
        <is>
          <t>Proposed – awaiting owner review</t>
        </is>
      </c>
    </row>
    <row r="4" ht="31" customHeight="1">
      <c r="A4" s="17" t="inlineStr">
        <is>
          <t>FR-03</t>
        </is>
      </c>
      <c r="B4" s="4" t="inlineStr">
        <is>
          <t>Functional</t>
        </is>
      </c>
      <c r="C4" s="4" t="inlineStr">
        <is>
          <t>Multiple child profiles</t>
        </is>
      </c>
      <c r="D4" s="4" t="inlineStr">
        <is>
          <t>List, switch active, edit and add child profiles</t>
        </is>
      </c>
      <c r="E4" s="4" t="inlineStr">
        <is>
          <t>Should</t>
        </is>
      </c>
      <c r="F4" s="4" t="inlineStr">
        <is>
          <t>Design SCR-14</t>
        </is>
      </c>
      <c r="G4" s="4" t="inlineStr">
        <is>
          <t>SCR-14</t>
        </is>
      </c>
      <c r="H4" s="4" t="inlineStr">
        <is>
          <t>LS-062, LS-063</t>
        </is>
      </c>
      <c r="I4" s="4" t="inlineStr">
        <is>
          <t>TC-042</t>
        </is>
      </c>
      <c r="J4" s="4" t="inlineStr">
        <is>
          <t>Proposed – awaiting owner review</t>
        </is>
      </c>
    </row>
    <row r="5" ht="31" customHeight="1">
      <c r="A5" s="17" t="inlineStr">
        <is>
          <t>FR-04</t>
        </is>
      </c>
      <c r="B5" s="4" t="inlineStr">
        <is>
          <t>Functional</t>
        </is>
      </c>
      <c r="C5" s="4" t="inlineStr">
        <is>
          <t>Personalised Home</t>
        </is>
      </c>
      <c r="D5" s="4" t="inlineStr">
        <is>
          <t>Greeting, hero CTA, continue listening, category tiles, 'Made for {child}' row, culture banner</t>
        </is>
      </c>
      <c r="E5" s="4" t="inlineStr">
        <is>
          <t>Must</t>
        </is>
      </c>
      <c r="F5" s="4" t="inlineStr">
        <is>
          <t>Design SCR-03</t>
        </is>
      </c>
      <c r="G5" s="4" t="inlineStr">
        <is>
          <t>SCR-03</t>
        </is>
      </c>
      <c r="H5" s="4" t="inlineStr">
        <is>
          <t>LS-070</t>
        </is>
      </c>
      <c r="I5" s="4" t="inlineStr">
        <is>
          <t>TC-008, TC-009, TC-010</t>
        </is>
      </c>
      <c r="J5" s="4" t="inlineStr">
        <is>
          <t>Proposed – awaiting owner review</t>
        </is>
      </c>
    </row>
    <row r="6" ht="31" customHeight="1">
      <c r="A6" s="17" t="inlineStr">
        <is>
          <t>FR-05</t>
        </is>
      </c>
      <c r="B6" s="4" t="inlineStr">
        <is>
          <t>Functional</t>
        </is>
      </c>
      <c r="C6" s="4" t="inlineStr">
        <is>
          <t>Discover</t>
        </is>
      </c>
      <c r="D6" s="4" t="inlineStr">
        <is>
          <t>Live search, featured story, category filter chips, popular grid, bedtime row, no-results state</t>
        </is>
      </c>
      <c r="E6" s="4" t="inlineStr">
        <is>
          <t>Must</t>
        </is>
      </c>
      <c r="F6" s="4" t="inlineStr">
        <is>
          <t>Design SCR-04a/b</t>
        </is>
      </c>
      <c r="G6" s="4" t="inlineStr">
        <is>
          <t>SCR-04a, SCR-04b</t>
        </is>
      </c>
      <c r="H6" s="4" t="inlineStr">
        <is>
          <t>LS-071, LS-072</t>
        </is>
      </c>
      <c r="I6" s="4" t="inlineStr">
        <is>
          <t>TC-011, TC-012, TC-013, TC-014</t>
        </is>
      </c>
      <c r="J6" s="4" t="inlineStr">
        <is>
          <t>Proposed – awaiting owner review</t>
        </is>
      </c>
    </row>
    <row r="7" ht="31" customHeight="1">
      <c r="A7" s="17" t="inlineStr">
        <is>
          <t>FR-06</t>
        </is>
      </c>
      <c r="B7" s="4" t="inlineStr">
        <is>
          <t>Functional</t>
        </is>
      </c>
      <c r="C7" s="4" t="inlineStr">
        <is>
          <t>Category listing</t>
        </is>
      </c>
      <c r="D7" s="4" t="inlineStr">
        <is>
          <t>Category hero and story list with sort (Recommended, Shortest first, Newest)</t>
        </is>
      </c>
      <c r="E7" s="4" t="inlineStr">
        <is>
          <t>Should</t>
        </is>
      </c>
      <c r="F7" s="4" t="inlineStr">
        <is>
          <t>Design SCR-05</t>
        </is>
      </c>
      <c r="G7" s="4" t="inlineStr">
        <is>
          <t>SCR-05</t>
        </is>
      </c>
      <c r="H7" s="4" t="inlineStr">
        <is>
          <t>LS-073</t>
        </is>
      </c>
      <c r="I7" s="4" t="inlineStr">
        <is>
          <t>TC-015</t>
        </is>
      </c>
      <c r="J7" s="4" t="inlineStr">
        <is>
          <t>Proposed – awaiting owner review</t>
        </is>
      </c>
    </row>
    <row r="8" ht="31" customHeight="1">
      <c r="A8" s="17" t="inlineStr">
        <is>
          <t>FR-07</t>
        </is>
      </c>
      <c r="B8" s="4" t="inlineStr">
        <is>
          <t>Functional</t>
        </is>
      </c>
      <c r="C8" s="4" t="inlineStr">
        <is>
          <t>Story detail</t>
        </is>
      </c>
      <c r="D8" s="4" t="inlineStr">
        <is>
          <t>Cover, favourite, download, metadata, synopsis, lesson, narration info, Listen/Read CTAs</t>
        </is>
      </c>
      <c r="E8" s="4" t="inlineStr">
        <is>
          <t>Must</t>
        </is>
      </c>
      <c r="F8" s="4" t="inlineStr">
        <is>
          <t>Design SCR-06</t>
        </is>
      </c>
      <c r="G8" s="4" t="inlineStr">
        <is>
          <t>SCR-06</t>
        </is>
      </c>
      <c r="H8" s="4" t="inlineStr">
        <is>
          <t>LS-074</t>
        </is>
      </c>
      <c r="I8" s="4" t="inlineStr">
        <is>
          <t>TC-016</t>
        </is>
      </c>
      <c r="J8" s="4" t="inlineStr">
        <is>
          <t>Proposed – awaiting owner review</t>
        </is>
      </c>
    </row>
    <row r="9" ht="31" customHeight="1">
      <c r="A9" s="17" t="inlineStr">
        <is>
          <t>FR-08</t>
        </is>
      </c>
      <c r="B9" s="4" t="inlineStr">
        <is>
          <t>Functional</t>
        </is>
      </c>
      <c r="C9" s="4" t="inlineStr">
        <is>
          <t>Create story form</t>
        </is>
      </c>
      <c r="D9" s="4" t="inlineStr">
        <is>
          <t>Text up to 500 chars, suggestions, hero, theme, more options (mood, duration, story language), empty-text validation</t>
        </is>
      </c>
      <c r="E9" s="4" t="inlineStr">
        <is>
          <t>Must</t>
        </is>
      </c>
      <c r="F9" s="4" t="inlineStr">
        <is>
          <t>Design SCR-07</t>
        </is>
      </c>
      <c r="G9" s="4" t="inlineStr">
        <is>
          <t>SCR-07</t>
        </is>
      </c>
      <c r="H9" s="4" t="inlineStr">
        <is>
          <t>LS-080, LS-081</t>
        </is>
      </c>
      <c r="I9" s="4" t="inlineStr">
        <is>
          <t>TC-019, TC-020, TC-021, TC-022, TC-061</t>
        </is>
      </c>
      <c r="J9" s="4" t="inlineStr">
        <is>
          <t>Proposed – awaiting owner review</t>
        </is>
      </c>
    </row>
    <row r="10" ht="31" customHeight="1">
      <c r="A10" s="17" t="inlineStr">
        <is>
          <t>FR-09</t>
        </is>
      </c>
      <c r="B10" s="4" t="inlineStr">
        <is>
          <t>Functional</t>
        </is>
      </c>
      <c r="C10" s="4" t="inlineStr">
        <is>
          <t>Simulated generation</t>
        </is>
      </c>
      <c r="D10" s="4" t="inlineStr">
        <is>
          <t>Deterministic progress with 3 stages, cancel → paused, try again, back to idea, auto-advance</t>
        </is>
      </c>
      <c r="E10" s="4" t="inlineStr">
        <is>
          <t>Must</t>
        </is>
      </c>
      <c r="F10" s="4" t="inlineStr">
        <is>
          <t>Design SCR-08</t>
        </is>
      </c>
      <c r="G10" s="4" t="inlineStr">
        <is>
          <t>SCR-08</t>
        </is>
      </c>
      <c r="H10" s="4" t="inlineStr">
        <is>
          <t>LS-082, LS-083</t>
        </is>
      </c>
      <c r="I10" s="4" t="inlineStr">
        <is>
          <t>TC-024, TC-025, TC-026, TC-027</t>
        </is>
      </c>
      <c r="J10" s="4" t="inlineStr">
        <is>
          <t>Proposed – awaiting owner review</t>
        </is>
      </c>
    </row>
    <row r="11" ht="31" customHeight="1">
      <c r="A11" s="17" t="inlineStr">
        <is>
          <t>FR-10</t>
        </is>
      </c>
      <c r="B11" s="4" t="inlineStr">
        <is>
          <t>Functional</t>
        </is>
      </c>
      <c r="C11" s="4" t="inlineStr">
        <is>
          <t>Story ready</t>
        </is>
      </c>
      <c r="D11" s="4" t="inlineStr">
        <is>
          <t>Result with listen/read and automatic save to 'Created by Me'</t>
        </is>
      </c>
      <c r="E11" s="4" t="inlineStr">
        <is>
          <t>Must</t>
        </is>
      </c>
      <c r="F11" s="4" t="inlineStr">
        <is>
          <t>Design SCR-09</t>
        </is>
      </c>
      <c r="G11" s="4" t="inlineStr">
        <is>
          <t>SCR-09</t>
        </is>
      </c>
      <c r="H11" s="4" t="inlineStr">
        <is>
          <t>LS-082, LS-084</t>
        </is>
      </c>
      <c r="I11" s="4" t="inlineStr">
        <is>
          <t>TC-028, TC-029</t>
        </is>
      </c>
      <c r="J11" s="4" t="inlineStr">
        <is>
          <t>Proposed – awaiting owner review</t>
        </is>
      </c>
    </row>
    <row r="12" ht="31" customHeight="1">
      <c r="A12" s="17" t="inlineStr">
        <is>
          <t>FR-11</t>
        </is>
      </c>
      <c r="B12" s="4" t="inlineStr">
        <is>
          <t>Functional</t>
        </is>
      </c>
      <c r="C12" s="4" t="inlineStr">
        <is>
          <t>Reader</t>
        </is>
      </c>
      <c r="D12" s="4" t="inlineStr">
        <is>
          <t>Paginated story, A−/A+ (0.9–1.3), reading progress bar, previous/next, play narration</t>
        </is>
      </c>
      <c r="E12" s="4" t="inlineStr">
        <is>
          <t>Must</t>
        </is>
      </c>
      <c r="F12" s="4" t="inlineStr">
        <is>
          <t>Design SCR-10</t>
        </is>
      </c>
      <c r="G12" s="4" t="inlineStr">
        <is>
          <t>SCR-10</t>
        </is>
      </c>
      <c r="H12" s="4" t="inlineStr">
        <is>
          <t>LS-090</t>
        </is>
      </c>
      <c r="I12" s="4" t="inlineStr">
        <is>
          <t>TC-030, TC-031</t>
        </is>
      </c>
      <c r="J12" s="4" t="inlineStr">
        <is>
          <t>Proposed – awaiting owner review</t>
        </is>
      </c>
    </row>
    <row r="13" ht="31" customHeight="1">
      <c r="A13" s="17" t="inlineStr">
        <is>
          <t>FR-12</t>
        </is>
      </c>
      <c r="B13" s="4" t="inlineStr">
        <is>
          <t>Functional</t>
        </is>
      </c>
      <c r="C13" s="4" t="inlineStr">
        <is>
          <t>Simulated audio player</t>
        </is>
      </c>
      <c r="D13" s="4" t="inlineStr">
        <is>
          <t>Play/pause, seek, ±15 s, chapters, speed 0.75–1.5×, volume, download, favourite, sleep timer – clearly simulated</t>
        </is>
      </c>
      <c r="E13" s="4" t="inlineStr">
        <is>
          <t>Should</t>
        </is>
      </c>
      <c r="F13" s="4" t="inlineStr">
        <is>
          <t>Design SCR-11a/b</t>
        </is>
      </c>
      <c r="G13" s="4" t="inlineStr">
        <is>
          <t>SCR-11a, SCR-11b</t>
        </is>
      </c>
      <c r="H13" s="4" t="inlineStr">
        <is>
          <t>LS-092, LS-093</t>
        </is>
      </c>
      <c r="I13" s="4" t="inlineStr">
        <is>
          <t>TC-034, TC-035, TC-037</t>
        </is>
      </c>
      <c r="J13" s="4" t="inlineStr">
        <is>
          <t>Proposed – awaiting owner review</t>
        </is>
      </c>
    </row>
    <row r="14" ht="31" customHeight="1">
      <c r="A14" s="17" t="inlineStr">
        <is>
          <t>FR-13</t>
        </is>
      </c>
      <c r="B14" s="4" t="inlineStr">
        <is>
          <t>Functional</t>
        </is>
      </c>
      <c r="C14" s="4" t="inlineStr">
        <is>
          <t>Favourites</t>
        </is>
      </c>
      <c r="D14" s="4" t="inlineStr">
        <is>
          <t>Toggle favourite from any story surface; state consistent and persisted</t>
        </is>
      </c>
      <c r="E14" s="4" t="inlineStr">
        <is>
          <t>Must</t>
        </is>
      </c>
      <c r="F14" s="4" t="inlineStr">
        <is>
          <t>Design (multiple)</t>
        </is>
      </c>
      <c r="G14" s="4" t="inlineStr">
        <is>
          <t>SCR-03, SCR-04a, SCR-05, SCR-06, SCR-09, SCR-10, SCR-11a</t>
        </is>
      </c>
      <c r="H14" s="4" t="inlineStr">
        <is>
          <t>LS-075</t>
        </is>
      </c>
      <c r="I14" s="4" t="inlineStr">
        <is>
          <t>TC-017, TC-018</t>
        </is>
      </c>
      <c r="J14" s="4" t="inlineStr">
        <is>
          <t>Proposed – awaiting owner review</t>
        </is>
      </c>
    </row>
    <row r="15" ht="31" customHeight="1">
      <c r="A15" s="17" t="inlineStr">
        <is>
          <t>FR-14</t>
        </is>
      </c>
      <c r="B15" s="4" t="inlineStr">
        <is>
          <t>Functional</t>
        </is>
      </c>
      <c r="C15" s="4" t="inlineStr">
        <is>
          <t>My Stories library</t>
        </is>
      </c>
      <c r="D15" s="4" t="inlineStr">
        <is>
          <t>Search, tabs (All, Created by Me, Downloaded, Favourites), recently played, empty states</t>
        </is>
      </c>
      <c r="E15" s="4" t="inlineStr">
        <is>
          <t>Must</t>
        </is>
      </c>
      <c r="F15" s="4" t="inlineStr">
        <is>
          <t>Design SCR-12</t>
        </is>
      </c>
      <c r="G15" s="4" t="inlineStr">
        <is>
          <t>SCR-12</t>
        </is>
      </c>
      <c r="H15" s="4" t="inlineStr">
        <is>
          <t>LS-100</t>
        </is>
      </c>
      <c r="I15" s="4" t="inlineStr">
        <is>
          <t>TC-038, TC-039</t>
        </is>
      </c>
      <c r="J15" s="4" t="inlineStr">
        <is>
          <t>Proposed – awaiting owner review</t>
        </is>
      </c>
    </row>
    <row r="16" ht="31" customHeight="1">
      <c r="A16" s="17" t="inlineStr">
        <is>
          <t>FR-15</t>
        </is>
      </c>
      <c r="B16" s="4" t="inlineStr">
        <is>
          <t>Functional</t>
        </is>
      </c>
      <c r="C16" s="4" t="inlineStr">
        <is>
          <t>Offline downloads (simulated)</t>
        </is>
      </c>
      <c r="D16" s="4" t="inlineStr">
        <is>
          <t>Storage summary, list, remove, empty state</t>
        </is>
      </c>
      <c r="E16" s="4" t="inlineStr">
        <is>
          <t>Could</t>
        </is>
      </c>
      <c r="F16" s="4" t="inlineStr">
        <is>
          <t>Design SCR-17</t>
        </is>
      </c>
      <c r="G16" s="4" t="inlineStr">
        <is>
          <t>SCR-17</t>
        </is>
      </c>
      <c r="H16" s="4" t="inlineStr">
        <is>
          <t>LS-101</t>
        </is>
      </c>
      <c r="I16" s="4" t="inlineStr">
        <is>
          <t>TC-040</t>
        </is>
      </c>
      <c r="J16" s="4" t="inlineStr">
        <is>
          <t>Proposed – awaiting owner review</t>
        </is>
      </c>
    </row>
    <row r="17" ht="31" customHeight="1">
      <c r="A17" s="17" t="inlineStr">
        <is>
          <t>FR-16</t>
        </is>
      </c>
      <c r="B17" s="4" t="inlineStr">
        <is>
          <t>Functional</t>
        </is>
      </c>
      <c r="C17" s="4" t="inlineStr">
        <is>
          <t>Settings hub</t>
        </is>
      </c>
      <c r="D17" s="4" t="inlineStr">
        <is>
          <t>Parent card and grouped settings rows with working toggles and navigation</t>
        </is>
      </c>
      <c r="E17" s="4" t="inlineStr">
        <is>
          <t>Must</t>
        </is>
      </c>
      <c r="F17" s="4" t="inlineStr">
        <is>
          <t>Design SCR-13</t>
        </is>
      </c>
      <c r="G17" s="4" t="inlineStr">
        <is>
          <t>SCR-13</t>
        </is>
      </c>
      <c r="H17" s="4" t="inlineStr">
        <is>
          <t>LS-110</t>
        </is>
      </c>
      <c r="I17" s="4" t="inlineStr">
        <is>
          <t>TC-041</t>
        </is>
      </c>
      <c r="J17" s="4" t="inlineStr">
        <is>
          <t>Proposed – awaiting owner review</t>
        </is>
      </c>
    </row>
    <row r="18" ht="31" customHeight="1">
      <c r="A18" s="17" t="inlineStr">
        <is>
          <t>FR-17</t>
        </is>
      </c>
      <c r="B18" s="4" t="inlineStr">
        <is>
          <t>Functional</t>
        </is>
      </c>
      <c r="C18" s="4" t="inlineStr">
        <is>
          <t>Bedtime reminder settings</t>
        </is>
      </c>
      <c r="D18" s="4" t="inlineStr">
        <is>
          <t>Enable, time, repeat days, save with toast (local only)</t>
        </is>
      </c>
      <c r="E18" s="4" t="inlineStr">
        <is>
          <t>Could</t>
        </is>
      </c>
      <c r="F18" s="4" t="inlineStr">
        <is>
          <t>Design SCR-16</t>
        </is>
      </c>
      <c r="G18" s="4" t="inlineStr">
        <is>
          <t>SCR-16</t>
        </is>
      </c>
      <c r="H18" s="4" t="inlineStr">
        <is>
          <t>LS-111</t>
        </is>
      </c>
      <c r="I18" s="4" t="inlineStr">
        <is>
          <t>TC-043, TC-044</t>
        </is>
      </c>
      <c r="J18" s="4" t="inlineStr">
        <is>
          <t>Proposed – awaiting owner review</t>
        </is>
      </c>
    </row>
    <row r="19" ht="31" customHeight="1">
      <c r="A19" s="17" t="inlineStr">
        <is>
          <t>FR-18</t>
        </is>
      </c>
      <c r="B19" s="4" t="inlineStr">
        <is>
          <t>Functional</t>
        </is>
      </c>
      <c r="C19" s="4" t="inlineStr">
        <is>
          <t>Notifications inbox (mock)</t>
        </is>
      </c>
      <c r="D19" s="4" t="inlineStr">
        <is>
          <t>Grouped mock notifications, unread markers, mark all read, deep links</t>
        </is>
      </c>
      <c r="E19" s="4" t="inlineStr">
        <is>
          <t>Could</t>
        </is>
      </c>
      <c r="F19" s="4" t="inlineStr">
        <is>
          <t>Design SCR-18</t>
        </is>
      </c>
      <c r="G19" s="4" t="inlineStr">
        <is>
          <t>SCR-18</t>
        </is>
      </c>
      <c r="H19" s="4" t="inlineStr">
        <is>
          <t>LS-112</t>
        </is>
      </c>
      <c r="I19" s="4" t="inlineStr">
        <is>
          <t>TC-045</t>
        </is>
      </c>
      <c r="J19" s="4" t="inlineStr">
        <is>
          <t>Proposed – awaiting owner review</t>
        </is>
      </c>
    </row>
    <row r="20" ht="31" customHeight="1">
      <c r="A20" s="17" t="inlineStr">
        <is>
          <t>FR-19</t>
        </is>
      </c>
      <c r="B20" s="4" t="inlineStr">
        <is>
          <t>Functional</t>
        </is>
      </c>
      <c r="C20" s="4" t="inlineStr">
        <is>
          <t>Demo subscription</t>
        </is>
      </c>
      <c r="D20" s="4" t="inlineStr">
        <is>
          <t>Plans with illustrative ₹ pricing, selection, confirmation dialog, no payment</t>
        </is>
      </c>
      <c r="E20" s="4" t="inlineStr">
        <is>
          <t>Could</t>
        </is>
      </c>
      <c r="F20" s="4" t="inlineStr">
        <is>
          <t>Design SCR-15</t>
        </is>
      </c>
      <c r="G20" s="4" t="inlineStr">
        <is>
          <t>SCR-15</t>
        </is>
      </c>
      <c r="H20" s="4" t="inlineStr">
        <is>
          <t>LS-113</t>
        </is>
      </c>
      <c r="I20" s="4" t="inlineStr">
        <is>
          <t>TC-046</t>
        </is>
      </c>
      <c r="J20" s="4" t="inlineStr">
        <is>
          <t>Proposed – awaiting owner review</t>
        </is>
      </c>
    </row>
    <row r="21" ht="31" customHeight="1">
      <c r="A21" s="17" t="inlineStr">
        <is>
          <t>FR-20</t>
        </is>
      </c>
      <c r="B21" s="4" t="inlineStr">
        <is>
          <t>Functional</t>
        </is>
      </c>
      <c r="C21" s="4" t="inlineStr">
        <is>
          <t>App language EN / ಕನ್ನಡ</t>
        </is>
      </c>
      <c r="D21" s="4" t="inlineStr">
        <is>
          <t>Select app language, apply app-wide, persist, English fallback</t>
        </is>
      </c>
      <c r="E21" s="4" t="inlineStr">
        <is>
          <t>Must</t>
        </is>
      </c>
      <c r="F21" s="4" t="inlineStr">
        <is>
          <t>Explicit instruction (owner)</t>
        </is>
      </c>
      <c r="G21" s="4" t="inlineStr">
        <is>
          <t>SCR-02, SCR-20</t>
        </is>
      </c>
      <c r="H21" s="4" t="inlineStr">
        <is>
          <t>LS-004, LS-040, LS-045, LS-046</t>
        </is>
      </c>
      <c r="I21" s="4" t="inlineStr">
        <is>
          <t>TC-006, TC-007, TC-048, TC-049</t>
        </is>
      </c>
      <c r="J21" s="4" t="inlineStr">
        <is>
          <t>Proposed – awaiting owner review</t>
        </is>
      </c>
    </row>
    <row r="22" ht="31" customHeight="1">
      <c r="A22" s="17" t="inlineStr">
        <is>
          <t>FR-21</t>
        </is>
      </c>
      <c r="B22" s="4" t="inlineStr">
        <is>
          <t>Functional</t>
        </is>
      </c>
      <c r="C22" s="4" t="inlineStr">
        <is>
          <t>Story language EN / ಕನ್ನಡ</t>
        </is>
      </c>
      <c r="D22" s="4" t="inlineStr">
        <is>
          <t>Catalog and created stories available in English and Kannada</t>
        </is>
      </c>
      <c r="E22" s="4" t="inlineStr">
        <is>
          <t>Must</t>
        </is>
      </c>
      <c r="F22" s="4" t="inlineStr">
        <is>
          <t>Explicit instruction (owner)</t>
        </is>
      </c>
      <c r="G22" s="4" t="inlineStr">
        <is>
          <t>SCR-06, SCR-07, SCR-09, SCR-10</t>
        </is>
      </c>
      <c r="H22" s="4" t="inlineStr">
        <is>
          <t>LS-036, LS-044, LS-081</t>
        </is>
      </c>
      <c r="I22" s="4" t="inlineStr">
        <is>
          <t>TC-023, TC-060</t>
        </is>
      </c>
      <c r="J22" s="4" t="inlineStr">
        <is>
          <t>Proposed – awaiting owner review</t>
        </is>
      </c>
    </row>
    <row r="23" ht="31" customHeight="1">
      <c r="A23" s="17" t="inlineStr">
        <is>
          <t>FR-22</t>
        </is>
      </c>
      <c r="B23" s="4" t="inlineStr">
        <is>
          <t>Functional</t>
        </is>
      </c>
      <c r="C23" s="4" t="inlineStr">
        <is>
          <t>Privacy &amp; parent controls</t>
        </is>
      </c>
      <c r="D23" s="4" t="inlineStr">
        <is>
          <t>Explain data handling; allow deleting local data</t>
        </is>
      </c>
      <c r="E23" s="4" t="inlineStr">
        <is>
          <t>Should</t>
        </is>
      </c>
      <c r="F23" s="4" t="inlineStr">
        <is>
          <t>Design row exists; screen missing</t>
        </is>
      </c>
      <c r="G23" s="4" t="inlineStr">
        <is>
          <t>SCR-21</t>
        </is>
      </c>
      <c r="H23" s="4" t="inlineStr">
        <is>
          <t>LS-004, LS-114</t>
        </is>
      </c>
      <c r="I23" s="4" t="inlineStr">
        <is>
          <t>–</t>
        </is>
      </c>
      <c r="J23" s="4" t="inlineStr">
        <is>
          <t>Proposed – awaiting owner review</t>
        </is>
      </c>
    </row>
    <row r="24" ht="31" customHeight="1">
      <c r="A24" s="17" t="inlineStr">
        <is>
          <t>FR-23</t>
        </is>
      </c>
      <c r="B24" s="4" t="inlineStr">
        <is>
          <t>Functional</t>
        </is>
      </c>
      <c r="C24" s="4" t="inlineStr">
        <is>
          <t>Help &amp; about</t>
        </is>
      </c>
      <c r="D24" s="4" t="inlineStr">
        <is>
          <t>Version, licences, help text</t>
        </is>
      </c>
      <c r="E24" s="4" t="inlineStr">
        <is>
          <t>Could</t>
        </is>
      </c>
      <c r="F24" s="4" t="inlineStr">
        <is>
          <t>Design row exists; screen missing</t>
        </is>
      </c>
      <c r="G24" s="4" t="inlineStr">
        <is>
          <t>SCR-22</t>
        </is>
      </c>
      <c r="H24" s="4" t="inlineStr">
        <is>
          <t>LS-004, LS-115</t>
        </is>
      </c>
      <c r="I24" s="4" t="inlineStr">
        <is>
          <t>–</t>
        </is>
      </c>
      <c r="J24" s="4" t="inlineStr">
        <is>
          <t>Proposed – awaiting owner review</t>
        </is>
      </c>
    </row>
    <row r="25" ht="31" customHeight="1">
      <c r="A25" s="17" t="inlineStr">
        <is>
          <t>FR-24</t>
        </is>
      </c>
      <c r="B25" s="4" t="inlineStr">
        <is>
          <t>Functional</t>
        </is>
      </c>
      <c r="C25" s="4" t="inlineStr">
        <is>
          <t>Progress &amp; resume</t>
        </is>
      </c>
      <c r="D25" s="4" t="inlineStr">
        <is>
          <t>Reading and listening progress persisted; resume from Home/My Stories</t>
        </is>
      </c>
      <c r="E25" s="4" t="inlineStr">
        <is>
          <t>Should</t>
        </is>
      </c>
      <c r="F25" s="4" t="inlineStr">
        <is>
          <t>Design SCR-03, SCR-12</t>
        </is>
      </c>
      <c r="G25" s="4" t="inlineStr">
        <is>
          <t>SCR-03, SCR-10, SCR-11a, SCR-12</t>
        </is>
      </c>
      <c r="H25" s="4" t="inlineStr">
        <is>
          <t>LS-070, LS-091</t>
        </is>
      </c>
      <c r="I25" s="4" t="inlineStr">
        <is>
          <t>TC-033</t>
        </is>
      </c>
      <c r="J25" s="4" t="inlineStr">
        <is>
          <t>Proposed – awaiting owner review</t>
        </is>
      </c>
    </row>
    <row r="26" ht="31" customHeight="1">
      <c r="A26" s="17" t="inlineStr">
        <is>
          <t>FR-25</t>
        </is>
      </c>
      <c r="B26" s="4" t="inlineStr">
        <is>
          <t>Functional</t>
        </is>
      </c>
      <c r="C26" s="4" t="inlineStr">
        <is>
          <t>Launch &amp; first-run routing</t>
        </is>
      </c>
      <c r="D26" s="4" t="inlineStr">
        <is>
          <t>Splash then onboarding on first run, Home afterwards</t>
        </is>
      </c>
      <c r="E26" s="4" t="inlineStr">
        <is>
          <t>Must</t>
        </is>
      </c>
      <c r="F26" s="4" t="inlineStr">
        <is>
          <t>Assumption (design missing)</t>
        </is>
      </c>
      <c r="G26" s="4" t="inlineStr">
        <is>
          <t>SCR-19</t>
        </is>
      </c>
      <c r="H26" s="4" t="inlineStr">
        <is>
          <t>LS-004, LS-051</t>
        </is>
      </c>
      <c r="I26" s="4" t="inlineStr">
        <is>
          <t>TC-057</t>
        </is>
      </c>
      <c r="J26" s="4" t="inlineStr">
        <is>
          <t>Proposed – awaiting owner review</t>
        </is>
      </c>
    </row>
    <row r="27" ht="44.5" customHeight="1">
      <c r="A27" s="17" t="inlineStr">
        <is>
          <t>NFR-01</t>
        </is>
      </c>
      <c r="B27" s="4" t="inlineStr">
        <is>
          <t>Non-functional</t>
        </is>
      </c>
      <c r="C27" s="4" t="inlineStr">
        <is>
          <t>No hardcoding</t>
        </is>
      </c>
      <c r="D27" s="4" t="inlineStr">
        <is>
          <t>No hardcoded user-facing text, colours, dimensions, typography, routes, limits or config</t>
        </is>
      </c>
      <c r="E27" s="4" t="inlineStr">
        <is>
          <t>Must</t>
        </is>
      </c>
      <c r="F27" s="4" t="inlineStr">
        <is>
          <t>Explicit instruction (owner)</t>
        </is>
      </c>
      <c r="G27" s="4" t="inlineStr">
        <is>
          <t>All</t>
        </is>
      </c>
      <c r="H27" s="4" t="inlineStr">
        <is>
          <t>LS-005, LS-010, LS-011, LS-012, LS-033, LS-034, LS-050, LS-125, LS-150</t>
        </is>
      </c>
      <c r="I27" s="4" t="inlineStr">
        <is>
          <t>TC-051</t>
        </is>
      </c>
      <c r="J27" s="4" t="inlineStr">
        <is>
          <t>Proposed – awaiting owner review</t>
        </is>
      </c>
    </row>
    <row r="28" ht="31" customHeight="1">
      <c r="A28" s="17" t="inlineStr">
        <is>
          <t>NFR-02</t>
        </is>
      </c>
      <c r="B28" s="4" t="inlineStr">
        <is>
          <t>Non-functional</t>
        </is>
      </c>
      <c r="C28" s="4" t="inlineStr">
        <is>
          <t>Localization completeness</t>
        </is>
      </c>
      <c r="D28" s="4" t="inlineStr">
        <is>
          <t>Every string in EN and KN; CI key-parity check; lint MissingTranslation = error</t>
        </is>
      </c>
      <c r="E28" s="4" t="inlineStr">
        <is>
          <t>Must</t>
        </is>
      </c>
      <c r="F28" s="4" t="inlineStr">
        <is>
          <t>Explicit instruction (owner)</t>
        </is>
      </c>
      <c r="G28" s="4" t="inlineStr">
        <is>
          <t>All</t>
        </is>
      </c>
      <c r="H28" s="4" t="inlineStr">
        <is>
          <t>LS-005, LS-011, LS-034, LS-040, LS-041, LS-043, LS-047</t>
        </is>
      </c>
      <c r="I28" s="4" t="inlineStr">
        <is>
          <t>TC-003, TC-050</t>
        </is>
      </c>
      <c r="J28" s="4" t="inlineStr">
        <is>
          <t>Proposed – awaiting owner review</t>
        </is>
      </c>
    </row>
    <row r="29" ht="31" customHeight="1">
      <c r="A29" s="17" t="inlineStr">
        <is>
          <t>NFR-03</t>
        </is>
      </c>
      <c r="B29" s="4" t="inlineStr">
        <is>
          <t>Non-functional</t>
        </is>
      </c>
      <c r="C29" s="4" t="inlineStr">
        <is>
          <t>Future languages</t>
        </is>
      </c>
      <c r="D29" s="4" t="inlineStr">
        <is>
          <t>Adding a language = resources + registry + locales_config only</t>
        </is>
      </c>
      <c r="E29" s="4" t="inlineStr">
        <is>
          <t>Must</t>
        </is>
      </c>
      <c r="F29" s="4" t="inlineStr">
        <is>
          <t>Explicit instruction (owner)</t>
        </is>
      </c>
      <c r="G29" s="4" t="inlineStr">
        <is>
          <t>All</t>
        </is>
      </c>
      <c r="H29" s="4" t="inlineStr">
        <is>
          <t>LS-040, LS-042, LS-048</t>
        </is>
      </c>
      <c r="I29" s="4" t="inlineStr">
        <is>
          <t>TC-052, TC-059</t>
        </is>
      </c>
      <c r="J29" s="4" t="inlineStr">
        <is>
          <t>Proposed – awaiting owner review</t>
        </is>
      </c>
    </row>
    <row r="30" ht="31" customHeight="1">
      <c r="A30" s="17" t="inlineStr">
        <is>
          <t>NFR-04</t>
        </is>
      </c>
      <c r="B30" s="4" t="inlineStr">
        <is>
          <t>Non-functional</t>
        </is>
      </c>
      <c r="C30" s="4" t="inlineStr">
        <is>
          <t>Accessibility</t>
        </is>
      </c>
      <c r="D30" s="4" t="inlineStr">
        <is>
          <t>48dp targets, WCAG AA contrast, TalkBack labels EN/KN, font scaling, reduced motion</t>
        </is>
      </c>
      <c r="E30" s="4" t="inlineStr">
        <is>
          <t>Must</t>
        </is>
      </c>
      <c r="F30" s="4" t="inlineStr">
        <is>
          <t>Master prompt §8.4 + design a11y gaps</t>
        </is>
      </c>
      <c r="G30" s="4" t="inlineStr">
        <is>
          <t>All</t>
        </is>
      </c>
      <c r="H30" s="4" t="inlineStr">
        <is>
          <t>LS-012, LS-015, LS-016, LS-017, LS-019, LS-094, LS-110, LS-123</t>
        </is>
      </c>
      <c r="I30" s="4" t="inlineStr">
        <is>
          <t>TC-032, TC-053, TC-054, TC-055</t>
        </is>
      </c>
      <c r="J30" s="4" t="inlineStr">
        <is>
          <t>Proposed – awaiting owner review</t>
        </is>
      </c>
    </row>
    <row r="31" ht="31" customHeight="1">
      <c r="A31" s="17" t="inlineStr">
        <is>
          <t>NFR-05</t>
        </is>
      </c>
      <c r="B31" s="4" t="inlineStr">
        <is>
          <t>Non-functional</t>
        </is>
      </c>
      <c r="C31" s="4" t="inlineStr">
        <is>
          <t>Architecture</t>
        </is>
      </c>
      <c r="D31" s="4" t="inlineStr">
        <is>
          <t>Clean layers, no circular deps, domain free of Android/UI</t>
        </is>
      </c>
      <c r="E31" s="4" t="inlineStr">
        <is>
          <t>Must</t>
        </is>
      </c>
      <c r="F31" s="4" t="inlineStr">
        <is>
          <t>Master prompt §9</t>
        </is>
      </c>
      <c r="G31" s="4" t="inlineStr">
        <is>
          <t>All</t>
        </is>
      </c>
      <c r="H31" s="4" t="inlineStr">
        <is>
          <t>LS-008, LS-031, LS-037, LS-120</t>
        </is>
      </c>
      <c r="I31" s="4" t="inlineStr">
        <is>
          <t>–</t>
        </is>
      </c>
      <c r="J31" s="4" t="inlineStr">
        <is>
          <t>Proposed – awaiting owner review</t>
        </is>
      </c>
    </row>
    <row r="32" ht="31" customHeight="1">
      <c r="A32" s="17" t="inlineStr">
        <is>
          <t>NFR-06</t>
        </is>
      </c>
      <c r="B32" s="4" t="inlineStr">
        <is>
          <t>Non-functional</t>
        </is>
      </c>
      <c r="C32" s="4" t="inlineStr">
        <is>
          <t>Deterministic data</t>
        </is>
      </c>
      <c r="D32" s="4" t="inlineStr">
        <is>
          <t>Stable IDs, per-language mock JSON, no random/timestamps in tests</t>
        </is>
      </c>
      <c r="E32" s="4" t="inlineStr">
        <is>
          <t>Must</t>
        </is>
      </c>
      <c r="F32" s="4" t="inlineStr">
        <is>
          <t>Master prompt §10</t>
        </is>
      </c>
      <c r="G32" s="4" t="inlineStr">
        <is>
          <t>All</t>
        </is>
      </c>
      <c r="H32" s="4" t="inlineStr">
        <is>
          <t>LS-036</t>
        </is>
      </c>
      <c r="I32" s="4" t="inlineStr">
        <is>
          <t>–</t>
        </is>
      </c>
      <c r="J32" s="4" t="inlineStr">
        <is>
          <t>Proposed – awaiting owner review</t>
        </is>
      </c>
    </row>
    <row r="33" ht="31" customHeight="1">
      <c r="A33" s="17" t="inlineStr">
        <is>
          <t>NFR-07</t>
        </is>
      </c>
      <c r="B33" s="4" t="inlineStr">
        <is>
          <t>Non-functional</t>
        </is>
      </c>
      <c r="C33" s="4" t="inlineStr">
        <is>
          <t>Privacy &amp; child safety</t>
        </is>
      </c>
      <c r="D33" s="4" t="inlineStr">
        <is>
          <t>Minimal child data, no network/analytics/secrets in MVP</t>
        </is>
      </c>
      <c r="E33" s="4" t="inlineStr">
        <is>
          <t>Must</t>
        </is>
      </c>
      <c r="F33" s="4" t="inlineStr">
        <is>
          <t>Master prompt §8.5</t>
        </is>
      </c>
      <c r="G33" s="4" t="inlineStr">
        <is>
          <t>All</t>
        </is>
      </c>
      <c r="H33" s="4" t="inlineStr">
        <is>
          <t>LS-038, LS-061, LS-114, LS-126</t>
        </is>
      </c>
      <c r="I33" s="4" t="inlineStr">
        <is>
          <t>TC-047</t>
        </is>
      </c>
      <c r="J33" s="4" t="inlineStr">
        <is>
          <t>Proposed – awaiting owner review</t>
        </is>
      </c>
    </row>
    <row r="34" ht="31" customHeight="1">
      <c r="A34" s="17" t="inlineStr">
        <is>
          <t>NFR-08</t>
        </is>
      </c>
      <c r="B34" s="4" t="inlineStr">
        <is>
          <t>Non-functional</t>
        </is>
      </c>
      <c r="C34" s="4" t="inlineStr">
        <is>
          <t>Performance</t>
        </is>
      </c>
      <c r="D34" s="4" t="inlineStr">
        <is>
          <t>No main-thread blocking, lazy lists, stable state</t>
        </is>
      </c>
      <c r="E34" s="4" t="inlineStr">
        <is>
          <t>Should</t>
        </is>
      </c>
      <c r="F34" s="4" t="inlineStr">
        <is>
          <t>Master prompt §8.2</t>
        </is>
      </c>
      <c r="G34" s="4" t="inlineStr">
        <is>
          <t>All</t>
        </is>
      </c>
      <c r="H34" s="4" t="inlineStr">
        <is>
          <t>–</t>
        </is>
      </c>
      <c r="I34" s="4" t="inlineStr">
        <is>
          <t>–</t>
        </is>
      </c>
      <c r="J34" s="4" t="inlineStr">
        <is>
          <t>Proposed – awaiting owner review</t>
        </is>
      </c>
    </row>
    <row r="35" ht="31" customHeight="1">
      <c r="A35" s="17" t="inlineStr">
        <is>
          <t>NFR-09</t>
        </is>
      </c>
      <c r="B35" s="4" t="inlineStr">
        <is>
          <t>Non-functional</t>
        </is>
      </c>
      <c r="C35" s="4" t="inlineStr">
        <is>
          <t>Cross-platform development</t>
        </is>
      </c>
      <c r="D35" s="4" t="inlineStr">
        <is>
          <t>Builds identically on Windows and macOS; UTF-8; line endings normalised</t>
        </is>
      </c>
      <c r="E35" s="4" t="inlineStr">
        <is>
          <t>Must</t>
        </is>
      </c>
      <c r="F35" s="4" t="inlineStr">
        <is>
          <t>Explicit instruction (owner)</t>
        </is>
      </c>
      <c r="G35" s="4" t="inlineStr">
        <is>
          <t>–</t>
        </is>
      </c>
      <c r="H35" s="4" t="inlineStr">
        <is>
          <t>LS-001, LS-005, LS-030, LS-132</t>
        </is>
      </c>
      <c r="I35" s="4" t="inlineStr">
        <is>
          <t>TC-056</t>
        </is>
      </c>
      <c r="J35" s="4" t="inlineStr">
        <is>
          <t>Proposed – awaiting owner review</t>
        </is>
      </c>
    </row>
    <row r="36" ht="31" customHeight="1">
      <c r="A36" s="17" t="inlineStr">
        <is>
          <t>NFR-10</t>
        </is>
      </c>
      <c r="B36" s="4" t="inlineStr">
        <is>
          <t>Non-functional</t>
        </is>
      </c>
      <c r="C36" s="4" t="inlineStr">
        <is>
          <t>Visual fidelity</t>
        </is>
      </c>
      <c r="D36" s="4" t="inlineStr">
        <is>
          <t>Screens match the design pack screenshots to agreed tolerance</t>
        </is>
      </c>
      <c r="E36" s="4" t="inlineStr">
        <is>
          <t>Must</t>
        </is>
      </c>
      <c r="F36" s="4" t="inlineStr">
        <is>
          <t>Master prompt §16</t>
        </is>
      </c>
      <c r="G36" s="4" t="inlineStr">
        <is>
          <t>All</t>
        </is>
      </c>
      <c r="H36" s="4" t="inlineStr">
        <is>
          <t>LS-002, LS-010, LS-013, LS-018, LS-020, LS-122, LS-124</t>
        </is>
      </c>
      <c r="I36" s="4" t="inlineStr">
        <is>
          <t>–</t>
        </is>
      </c>
      <c r="J36" s="4" t="inlineStr">
        <is>
          <t>Proposed – awaiting owner review</t>
        </is>
      </c>
    </row>
    <row r="37" ht="31" customHeight="1">
      <c r="A37" s="17" t="inlineStr">
        <is>
          <t>NFR-11</t>
        </is>
      </c>
      <c r="B37" s="4" t="inlineStr">
        <is>
          <t>Non-functional</t>
        </is>
      </c>
      <c r="C37" s="4" t="inlineStr">
        <is>
          <t>Reliability</t>
        </is>
      </c>
      <c r="D37" s="4" t="inlineStr">
        <is>
          <t>State survives rotation, process recreation (where persisted) and language change</t>
        </is>
      </c>
      <c r="E37" s="4" t="inlineStr">
        <is>
          <t>Must</t>
        </is>
      </c>
      <c r="F37" s="4" t="inlineStr">
        <is>
          <t>Master prompt §8.3</t>
        </is>
      </c>
      <c r="G37" s="4" t="inlineStr">
        <is>
          <t>All</t>
        </is>
      </c>
      <c r="H37" s="4" t="inlineStr">
        <is>
          <t>LS-038</t>
        </is>
      </c>
      <c r="I37" s="4" t="inlineStr">
        <is>
          <t>TC-058</t>
        </is>
      </c>
      <c r="J37" s="4" t="inlineStr">
        <is>
          <t>Proposed – awaiting owner review</t>
        </is>
      </c>
    </row>
    <row r="38" ht="31" customHeight="1">
      <c r="A38" s="17" t="inlineStr">
        <is>
          <t>NFR-12</t>
        </is>
      </c>
      <c r="B38" s="4" t="inlineStr">
        <is>
          <t>Non-functional</t>
        </is>
      </c>
      <c r="C38" s="4" t="inlineStr">
        <is>
          <t>Honest simulations</t>
        </is>
      </c>
      <c r="D38" s="4" t="inlineStr">
        <is>
          <t>Simulated generation, audio, downloads, subscription clearly labelled</t>
        </is>
      </c>
      <c r="E38" s="4" t="inlineStr">
        <is>
          <t>Must</t>
        </is>
      </c>
      <c r="F38" s="4" t="inlineStr">
        <is>
          <t>Master prompt §4.3</t>
        </is>
      </c>
      <c r="G38" s="4" t="inlineStr">
        <is>
          <t>SCR-08, SCR-11a, SCR-15, SCR-17</t>
        </is>
      </c>
      <c r="H38" s="4" t="inlineStr">
        <is>
          <t>LS-082, LS-092, LS-101, LS-113</t>
        </is>
      </c>
      <c r="I38" s="4" t="inlineStr">
        <is>
          <t>TC-036</t>
        </is>
      </c>
      <c r="J38" s="4" t="inlineStr">
        <is>
          <t>Proposed – awaiting owner review</t>
        </is>
      </c>
    </row>
    <row r="39" ht="31" customHeight="1">
      <c r="A39" s="17" t="inlineStr">
        <is>
          <t>NFR-13</t>
        </is>
      </c>
      <c r="B39" s="4" t="inlineStr">
        <is>
          <t>Non-functional</t>
        </is>
      </c>
      <c r="C39" s="4" t="inlineStr">
        <is>
          <t>Locale-aware formatting</t>
        </is>
      </c>
      <c r="D39" s="4" t="inlineStr">
        <is>
          <t>Numbers, dates, times, durations, weekdays and currency formatted with locale-aware APIs; no concatenation</t>
        </is>
      </c>
      <c r="E39" s="4" t="inlineStr">
        <is>
          <t>Must</t>
        </is>
      </c>
      <c r="F39" s="4" t="inlineStr">
        <is>
          <t>Brief §4.4 rule 12, §8.7 (NEW, proposed)</t>
        </is>
      </c>
      <c r="G39" s="4" t="inlineStr">
        <is>
          <t>SCR-11a, SCR-15, SCR-16, SCR-17</t>
        </is>
      </c>
      <c r="H39" s="4" t="inlineStr">
        <is>
          <t>LS-040, LS-092, LS-101, LS-111, LS-113</t>
        </is>
      </c>
      <c r="I39" s="4" t="inlineStr">
        <is>
          <t>–</t>
        </is>
      </c>
      <c r="J39" s="4" t="inlineStr">
        <is>
          <t>Proposed – awaiting owner review</t>
        </is>
      </c>
    </row>
    <row r="40" ht="31" customHeight="1">
      <c r="A40" s="17" t="inlineStr">
        <is>
          <t>NFR-14</t>
        </is>
      </c>
      <c r="B40" s="4" t="inlineStr">
        <is>
          <t>Non-functional</t>
        </is>
      </c>
      <c r="C40" s="4" t="inlineStr">
        <is>
          <t>RTL and text-expansion readiness</t>
        </is>
      </c>
      <c r="D40" s="4" t="inlineStr">
        <is>
          <t>supportsRtl, start/end only, flexible text containers; en-XA and ar-XB pseudo-locales render without clipping</t>
        </is>
      </c>
      <c r="E40" s="4" t="inlineStr">
        <is>
          <t>Must</t>
        </is>
      </c>
      <c r="F40" s="4" t="inlineStr">
        <is>
          <t>Brief §4.4 rules 10, 11, 18 (NEW, proposed)</t>
        </is>
      </c>
      <c r="G40" s="4" t="inlineStr">
        <is>
          <t>All</t>
        </is>
      </c>
      <c r="H40" s="4" t="inlineStr">
        <is>
          <t>LS-013, LS-016, LS-019, LS-042</t>
        </is>
      </c>
      <c r="I40" s="4" t="inlineStr">
        <is>
          <t>–</t>
        </is>
      </c>
      <c r="J40" s="4" t="inlineStr">
        <is>
          <t>Proposed – awaiting owner review</t>
        </is>
      </c>
    </row>
    <row r="41" ht="31" customHeight="1">
      <c r="A41" s="17" t="inlineStr">
        <is>
          <t>NFR-15</t>
        </is>
      </c>
      <c r="B41" s="4" t="inlineStr">
        <is>
          <t>Non-functional</t>
        </is>
      </c>
      <c r="C41" s="4" t="inlineStr">
        <is>
          <t>Configurability and How to change X</t>
        </is>
      </c>
      <c r="D41" s="4" t="inlineStr">
        <is>
          <t>Every configurable value has one documented home; changing wording, colour, limit or mock story edits one file</t>
        </is>
      </c>
      <c r="E41" s="4" t="inlineStr">
        <is>
          <t>Must</t>
        </is>
      </c>
      <c r="F41" s="4" t="inlineStr">
        <is>
          <t>Brief §4.5, §8.8 (NEW, proposed)</t>
        </is>
      </c>
      <c r="G41" s="4" t="inlineStr">
        <is>
          <t>All</t>
        </is>
      </c>
      <c r="H41" s="4" t="inlineStr">
        <is>
          <t>LS-033, LS-125, LS-150</t>
        </is>
      </c>
      <c r="I41" s="4" t="inlineStr">
        <is>
          <t>–</t>
        </is>
      </c>
      <c r="J41" s="4" t="inlineStr">
        <is>
          <t>Proposed – awaiting owner review</t>
        </is>
      </c>
    </row>
    <row r="42" ht="31" customHeight="1">
      <c r="A42" s="17" t="inlineStr">
        <is>
          <t>NFR-16</t>
        </is>
      </c>
      <c r="B42" s="4" t="inlineStr">
        <is>
          <t>Non-functional</t>
        </is>
      </c>
      <c r="C42" s="4" t="inlineStr">
        <is>
          <t>Compatibility and device matrix</t>
        </is>
      </c>
      <c r="D42" s="4" t="inlineStr">
        <is>
          <t>Supported Android versions (minSdk per ADR-016), screen sizes and test devices documented and tested</t>
        </is>
      </c>
      <c r="E42" s="4" t="inlineStr">
        <is>
          <t>Must</t>
        </is>
      </c>
      <c r="F42" s="4" t="inlineStr">
        <is>
          <t>Brief §8.6 (NEW, proposed)</t>
        </is>
      </c>
      <c r="G42" s="4" t="inlineStr">
        <is>
          <t>All</t>
        </is>
      </c>
      <c r="H42" s="4" t="inlineStr">
        <is>
          <t>LS-030, LS-132</t>
        </is>
      </c>
      <c r="I42" s="4" t="inlineStr">
        <is>
          <t>–</t>
        </is>
      </c>
      <c r="J42" s="4" t="inlineStr">
        <is>
          <t>Proposed – awaiting owner review</t>
        </is>
      </c>
    </row>
    <row r="43" ht="31" customHeight="1">
      <c r="A43" s="17" t="inlineStr">
        <is>
          <t>NFR-17</t>
        </is>
      </c>
      <c r="B43" s="4" t="inlineStr">
        <is>
          <t>Non-functional</t>
        </is>
      </c>
      <c r="C43" s="4" t="inlineStr">
        <is>
          <t>Build verifiability</t>
        </is>
      </c>
      <c r="D43" s="4" t="inlineStr">
        <is>
          <t>Every PR carries build, test and lint evidence from CI or a documented local run; no unverified claims</t>
        </is>
      </c>
      <c r="E43" s="4" t="inlineStr">
        <is>
          <t>Must</t>
        </is>
      </c>
      <c r="F43" s="4" t="inlineStr">
        <is>
          <t>P0 finding R-21 (NEW, proposed)</t>
        </is>
      </c>
      <c r="G43" s="4" t="inlineStr">
        <is>
          <t>–</t>
        </is>
      </c>
      <c r="H43" s="4" t="inlineStr">
        <is>
          <t>LS-039, LS-130, LS-030</t>
        </is>
      </c>
      <c r="I43" s="4" t="inlineStr">
        <is>
          <t>–</t>
        </is>
      </c>
      <c r="J43" s="4" t="inlineStr">
        <is>
          <t>Proposed – awaiting owner review</t>
        </is>
      </c>
    </row>
  </sheetData>
  <autoFilter ref="A1:J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AE3FF"/>
    <outlinePr summaryBelow="1" summaryRight="1"/>
    <pageSetUpPr/>
  </sheetPr>
  <dimension ref="A1:P62"/>
  <sheetViews>
    <sheetView zoomScale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8" customWidth="1" min="5" max="5"/>
    <col width="30" customWidth="1" min="6" max="6"/>
    <col width="24" customWidth="1" min="7" max="7"/>
    <col width="38" customWidth="1" min="8" max="8"/>
    <col width="42" customWidth="1" min="9" max="9"/>
    <col width="13" customWidth="1" min="10" max="10"/>
    <col width="11" customWidth="1" min="11" max="11"/>
    <col width="9" customWidth="1" min="12" max="12"/>
    <col width="14" customWidth="1" min="13" max="13"/>
    <col width="10" customWidth="1" min="14" max="14"/>
    <col width="18" customWidth="1" min="15" max="15"/>
    <col width="14" customWidth="1" min="16" max="16"/>
  </cols>
  <sheetData>
    <row r="1" ht="32" customHeight="1">
      <c r="A1" s="20" t="inlineStr">
        <is>
          <t>Test Case ID</t>
        </is>
      </c>
      <c r="B1" s="20" t="inlineStr">
        <is>
          <t>Related Ticket</t>
        </is>
      </c>
      <c r="C1" s="20" t="inlineStr">
        <is>
          <t>Requirement ID</t>
        </is>
      </c>
      <c r="D1" s="20" t="inlineStr">
        <is>
          <t>Screen</t>
        </is>
      </c>
      <c r="E1" s="20" t="inlineStr">
        <is>
          <t>Locale</t>
        </is>
      </c>
      <c r="F1" s="20" t="inlineStr">
        <is>
          <t>Scenario</t>
        </is>
      </c>
      <c r="G1" s="20" t="inlineStr">
        <is>
          <t>Preconditions</t>
        </is>
      </c>
      <c r="H1" s="20" t="inlineStr">
        <is>
          <t>Test Steps</t>
        </is>
      </c>
      <c r="I1" s="20" t="inlineStr">
        <is>
          <t>Expected Result</t>
        </is>
      </c>
      <c r="J1" s="20" t="inlineStr">
        <is>
          <t>Test Type</t>
        </is>
      </c>
      <c r="K1" s="20" t="inlineStr">
        <is>
          <t>Automation Candidate</t>
        </is>
      </c>
      <c r="L1" s="20" t="inlineStr">
        <is>
          <t>Priority</t>
        </is>
      </c>
      <c r="M1" s="20" t="inlineStr">
        <is>
          <t>Test Data</t>
        </is>
      </c>
      <c r="N1" s="20" t="inlineStr">
        <is>
          <t>Result</t>
        </is>
      </c>
      <c r="O1" s="20" t="inlineStr">
        <is>
          <t>Evidence</t>
        </is>
      </c>
      <c r="P1" s="20" t="inlineStr">
        <is>
          <t>Defect Link</t>
        </is>
      </c>
    </row>
    <row r="2" ht="18" customHeight="1">
      <c r="A2" s="17" t="inlineStr">
        <is>
          <t>TC-001</t>
        </is>
      </c>
      <c r="B2" s="4" t="inlineStr">
        <is>
          <t>LS-060</t>
        </is>
      </c>
      <c r="C2" s="4" t="inlineStr">
        <is>
          <t>FR-01</t>
        </is>
      </c>
      <c r="D2" s="4" t="inlineStr">
        <is>
          <t>SCR-01</t>
        </is>
      </c>
      <c r="E2" s="4" t="inlineStr">
        <is>
          <t>en</t>
        </is>
      </c>
      <c r="F2" s="4" t="inlineStr">
        <is>
          <t>Advance through onboarding</t>
        </is>
      </c>
      <c r="G2" s="4" t="inlineStr">
        <is>
          <t>Fresh install</t>
        </is>
      </c>
      <c r="H2" s="4" t="inlineStr">
        <is>
          <t>Tap Continue ×2, then Get Started</t>
        </is>
      </c>
      <c r="I2" s="4" t="inlineStr">
        <is>
          <t>Slides 1→2→3 copy matches design; Setup opens</t>
        </is>
      </c>
      <c r="J2" s="4" t="inlineStr">
        <is>
          <t>UI</t>
        </is>
      </c>
      <c r="K2" s="4" t="inlineStr">
        <is>
          <t>Yes</t>
        </is>
      </c>
      <c r="L2" s="4" t="inlineStr">
        <is>
          <t>High</t>
        </is>
      </c>
      <c r="M2" s="4" t="inlineStr">
        <is>
          <t>–</t>
        </is>
      </c>
      <c r="N2" s="4" t="inlineStr">
        <is>
          <t>Not run</t>
        </is>
      </c>
      <c r="O2" s="4" t="inlineStr"/>
      <c r="P2" s="4" t="inlineStr"/>
    </row>
    <row r="3" ht="18" customHeight="1">
      <c r="A3" s="17" t="inlineStr">
        <is>
          <t>TC-002</t>
        </is>
      </c>
      <c r="B3" s="4" t="inlineStr">
        <is>
          <t>LS-060</t>
        </is>
      </c>
      <c r="C3" s="4" t="inlineStr">
        <is>
          <t>FR-01</t>
        </is>
      </c>
      <c r="D3" s="4" t="inlineStr">
        <is>
          <t>SCR-01</t>
        </is>
      </c>
      <c r="E3" s="4" t="inlineStr">
        <is>
          <t>en</t>
        </is>
      </c>
      <c r="F3" s="4" t="inlineStr">
        <is>
          <t>Skip onboarding</t>
        </is>
      </c>
      <c r="G3" s="4" t="inlineStr">
        <is>
          <t>Fresh install</t>
        </is>
      </c>
      <c r="H3" s="4" t="inlineStr">
        <is>
          <t>Tap Skip on slide 1</t>
        </is>
      </c>
      <c r="I3" s="4" t="inlineStr">
        <is>
          <t>Setup opens</t>
        </is>
      </c>
      <c r="J3" s="4" t="inlineStr">
        <is>
          <t>UI</t>
        </is>
      </c>
      <c r="K3" s="4" t="inlineStr">
        <is>
          <t>Yes</t>
        </is>
      </c>
      <c r="L3" s="4" t="inlineStr">
        <is>
          <t>Medium</t>
        </is>
      </c>
      <c r="M3" s="4" t="inlineStr">
        <is>
          <t>–</t>
        </is>
      </c>
      <c r="N3" s="4" t="inlineStr">
        <is>
          <t>Not run</t>
        </is>
      </c>
      <c r="O3" s="4" t="inlineStr"/>
      <c r="P3" s="4" t="inlineStr"/>
    </row>
    <row r="4" ht="18" customHeight="1">
      <c r="A4" s="17" t="inlineStr">
        <is>
          <t>TC-003</t>
        </is>
      </c>
      <c r="B4" s="4" t="inlineStr">
        <is>
          <t>LS-060</t>
        </is>
      </c>
      <c r="C4" s="4" t="inlineStr">
        <is>
          <t>NFR-02</t>
        </is>
      </c>
      <c r="D4" s="4" t="inlineStr">
        <is>
          <t>SCR-01</t>
        </is>
      </c>
      <c r="E4" s="4" t="inlineStr">
        <is>
          <t>kn</t>
        </is>
      </c>
      <c r="F4" s="4" t="inlineStr">
        <is>
          <t>Onboarding in Kannada</t>
        </is>
      </c>
      <c r="G4" s="4" t="inlineStr">
        <is>
          <t>App language ಕನ್ನಡ</t>
        </is>
      </c>
      <c r="H4" s="4" t="inlineStr">
        <is>
          <t>View all 3 slides</t>
        </is>
      </c>
      <c r="I4" s="4" t="inlineStr">
        <is>
          <t>All text Kannada, no clipping, button fits</t>
        </is>
      </c>
      <c r="J4" s="4" t="inlineStr">
        <is>
          <t>Localization</t>
        </is>
      </c>
      <c r="K4" s="4" t="inlineStr">
        <is>
          <t>Yes</t>
        </is>
      </c>
      <c r="L4" s="4" t="inlineStr">
        <is>
          <t>High</t>
        </is>
      </c>
      <c r="M4" s="4" t="inlineStr">
        <is>
          <t>–</t>
        </is>
      </c>
      <c r="N4" s="4" t="inlineStr">
        <is>
          <t>Not run</t>
        </is>
      </c>
      <c r="O4" s="4" t="inlineStr"/>
      <c r="P4" s="4" t="inlineStr"/>
    </row>
    <row r="5" ht="31" customHeight="1">
      <c r="A5" s="17" t="inlineStr">
        <is>
          <t>TC-004</t>
        </is>
      </c>
      <c r="B5" s="4" t="inlineStr">
        <is>
          <t>LS-061</t>
        </is>
      </c>
      <c r="C5" s="4" t="inlineStr">
        <is>
          <t>FR-02</t>
        </is>
      </c>
      <c r="D5" s="4" t="inlineStr">
        <is>
          <t>SCR-02</t>
        </is>
      </c>
      <c r="E5" s="4" t="inlineStr">
        <is>
          <t>en</t>
        </is>
      </c>
      <c r="F5" s="4" t="inlineStr">
        <is>
          <t>Create profile happy path</t>
        </is>
      </c>
      <c r="G5" s="4" t="inlineStr">
        <is>
          <t>On Setup</t>
        </is>
      </c>
      <c r="H5" s="4" t="inlineStr">
        <is>
          <t>Enter child name, pick avatar, age 6, interests, 10 min; tap CTA</t>
        </is>
      </c>
      <c r="I5" s="4" t="inlineStr">
        <is>
          <t>Profile saved; Home shows 'Stories for {name}'</t>
        </is>
      </c>
      <c r="J5" s="4" t="inlineStr">
        <is>
          <t>UI</t>
        </is>
      </c>
      <c r="K5" s="4" t="inlineStr">
        <is>
          <t>Yes</t>
        </is>
      </c>
      <c r="L5" s="4" t="inlineStr">
        <is>
          <t>High</t>
        </is>
      </c>
      <c r="M5" s="4" t="inlineStr">
        <is>
          <t>Child 'Aarav'</t>
        </is>
      </c>
      <c r="N5" s="4" t="inlineStr">
        <is>
          <t>Not run</t>
        </is>
      </c>
      <c r="O5" s="4" t="inlineStr"/>
      <c r="P5" s="4" t="inlineStr"/>
    </row>
    <row r="6" ht="18" customHeight="1">
      <c r="A6" s="17" t="inlineStr">
        <is>
          <t>TC-005</t>
        </is>
      </c>
      <c r="B6" s="4" t="inlineStr">
        <is>
          <t>LS-061</t>
        </is>
      </c>
      <c r="C6" s="4" t="inlineStr">
        <is>
          <t>FR-02</t>
        </is>
      </c>
      <c r="D6" s="4" t="inlineStr">
        <is>
          <t>SCR-02</t>
        </is>
      </c>
      <c r="E6" s="4" t="inlineStr">
        <is>
          <t>en</t>
        </is>
      </c>
      <c r="F6" s="4" t="inlineStr">
        <is>
          <t>Required child name</t>
        </is>
      </c>
      <c r="G6" s="4" t="inlineStr">
        <is>
          <t>On Setup</t>
        </is>
      </c>
      <c r="H6" s="4" t="inlineStr">
        <is>
          <t>Clear child name; tap CTA</t>
        </is>
      </c>
      <c r="I6" s="4" t="inlineStr">
        <is>
          <t>Validation per LS-004 decision; no navigation</t>
        </is>
      </c>
      <c r="J6" s="4" t="inlineStr">
        <is>
          <t>UI</t>
        </is>
      </c>
      <c r="K6" s="4" t="inlineStr">
        <is>
          <t>Yes</t>
        </is>
      </c>
      <c r="L6" s="4" t="inlineStr">
        <is>
          <t>High</t>
        </is>
      </c>
      <c r="M6" s="4" t="inlineStr">
        <is>
          <t>Empty name</t>
        </is>
      </c>
      <c r="N6" s="4" t="inlineStr">
        <is>
          <t>Not run</t>
        </is>
      </c>
      <c r="O6" s="4" t="inlineStr"/>
      <c r="P6" s="4" t="inlineStr"/>
    </row>
    <row r="7" ht="18" customHeight="1">
      <c r="A7" s="17" t="inlineStr">
        <is>
          <t>TC-006</t>
        </is>
      </c>
      <c r="B7" s="4" t="inlineStr">
        <is>
          <t>LS-045</t>
        </is>
      </c>
      <c r="C7" s="4" t="inlineStr">
        <is>
          <t>FR-20</t>
        </is>
      </c>
      <c r="D7" s="4" t="inlineStr">
        <is>
          <t>SCR-02</t>
        </is>
      </c>
      <c r="E7" s="4" t="inlineStr">
        <is>
          <t>en</t>
        </is>
      </c>
      <c r="F7" s="4" t="inlineStr">
        <is>
          <t>Language list from registry</t>
        </is>
      </c>
      <c r="G7" s="4" t="inlineStr">
        <is>
          <t>On Setup</t>
        </is>
      </c>
      <c r="H7" s="4" t="inlineStr">
        <is>
          <t>Open Language select</t>
        </is>
      </c>
      <c r="I7" s="4" t="inlineStr">
        <is>
          <t>Only 'English' and 'ಕನ್ನಡ' shown</t>
        </is>
      </c>
      <c r="J7" s="4" t="inlineStr">
        <is>
          <t>UI</t>
        </is>
      </c>
      <c r="K7" s="4" t="inlineStr">
        <is>
          <t>Yes</t>
        </is>
      </c>
      <c r="L7" s="4" t="inlineStr">
        <is>
          <t>High</t>
        </is>
      </c>
      <c r="M7" s="4" t="inlineStr">
        <is>
          <t>–</t>
        </is>
      </c>
      <c r="N7" s="4" t="inlineStr">
        <is>
          <t>Not run</t>
        </is>
      </c>
      <c r="O7" s="4" t="inlineStr"/>
      <c r="P7" s="4" t="inlineStr"/>
    </row>
    <row r="8" ht="31" customHeight="1">
      <c r="A8" s="17" t="inlineStr">
        <is>
          <t>TC-007</t>
        </is>
      </c>
      <c r="B8" s="4" t="inlineStr">
        <is>
          <t>LS-045</t>
        </is>
      </c>
      <c r="C8" s="4" t="inlineStr">
        <is>
          <t>FR-20</t>
        </is>
      </c>
      <c r="D8" s="4" t="inlineStr">
        <is>
          <t>SCR-02</t>
        </is>
      </c>
      <c r="E8" s="4" t="inlineStr">
        <is>
          <t>en→kn</t>
        </is>
      </c>
      <c r="F8" s="4" t="inlineStr">
        <is>
          <t>Switch to Kannada in setup</t>
        </is>
      </c>
      <c r="G8" s="4" t="inlineStr">
        <is>
          <t>On Setup</t>
        </is>
      </c>
      <c r="H8" s="4" t="inlineStr">
        <is>
          <t>Choose ಕನ್ನಡ</t>
        </is>
      </c>
      <c r="I8" s="4" t="inlineStr">
        <is>
          <t>UI switches to Kannada immediately; persists after restart</t>
        </is>
      </c>
      <c r="J8" s="4" t="inlineStr">
        <is>
          <t>Integration</t>
        </is>
      </c>
      <c r="K8" s="4" t="inlineStr">
        <is>
          <t>Yes</t>
        </is>
      </c>
      <c r="L8" s="4" t="inlineStr">
        <is>
          <t>Highest</t>
        </is>
      </c>
      <c r="M8" s="4" t="inlineStr">
        <is>
          <t>–</t>
        </is>
      </c>
      <c r="N8" s="4" t="inlineStr">
        <is>
          <t>Not run</t>
        </is>
      </c>
      <c r="O8" s="4" t="inlineStr"/>
      <c r="P8" s="4" t="inlineStr"/>
    </row>
    <row r="9" ht="31" customHeight="1">
      <c r="A9" s="17" t="inlineStr">
        <is>
          <t>TC-008</t>
        </is>
      </c>
      <c r="B9" s="4" t="inlineStr">
        <is>
          <t>LS-070</t>
        </is>
      </c>
      <c r="C9" s="4" t="inlineStr">
        <is>
          <t>FR-04</t>
        </is>
      </c>
      <c r="D9" s="4" t="inlineStr">
        <is>
          <t>SCR-03</t>
        </is>
      </c>
      <c r="E9" s="4" t="inlineStr">
        <is>
          <t>en</t>
        </is>
      </c>
      <c r="F9" s="4" t="inlineStr">
        <is>
          <t>Home populated</t>
        </is>
      </c>
      <c r="G9" s="4" t="inlineStr">
        <is>
          <t>Profile + progress exist</t>
        </is>
      </c>
      <c r="H9" s="4" t="inlineStr">
        <is>
          <t>Open Home</t>
        </is>
      </c>
      <c r="I9" s="4" t="inlineStr">
        <is>
          <t>Hero, continue card (42%), categories, Made for row, banner present</t>
        </is>
      </c>
      <c r="J9" s="4" t="inlineStr">
        <is>
          <t>Screenshot</t>
        </is>
      </c>
      <c r="K9" s="4" t="inlineStr">
        <is>
          <t>Yes</t>
        </is>
      </c>
      <c r="L9" s="4" t="inlineStr">
        <is>
          <t>High</t>
        </is>
      </c>
      <c r="M9" s="4" t="inlineStr">
        <is>
          <t>Seed data</t>
        </is>
      </c>
      <c r="N9" s="4" t="inlineStr">
        <is>
          <t>Not run</t>
        </is>
      </c>
      <c r="O9" s="4" t="inlineStr"/>
      <c r="P9" s="4" t="inlineStr"/>
    </row>
    <row r="10" ht="31" customHeight="1">
      <c r="A10" s="17" t="inlineStr">
        <is>
          <t>TC-009</t>
        </is>
      </c>
      <c r="B10" s="4" t="inlineStr">
        <is>
          <t>LS-070</t>
        </is>
      </c>
      <c r="C10" s="4" t="inlineStr">
        <is>
          <t>FR-04</t>
        </is>
      </c>
      <c r="D10" s="4" t="inlineStr">
        <is>
          <t>SCR-03</t>
        </is>
      </c>
      <c r="E10" s="4" t="inlineStr">
        <is>
          <t>en</t>
        </is>
      </c>
      <c r="F10" s="4" t="inlineStr">
        <is>
          <t>Home with no progress</t>
        </is>
      </c>
      <c r="G10" s="4" t="inlineStr">
        <is>
          <t>New profile</t>
        </is>
      </c>
      <c r="H10" s="4" t="inlineStr">
        <is>
          <t>Open Home</t>
        </is>
      </c>
      <c r="I10" s="4" t="inlineStr">
        <is>
          <t>Continue section hidden or empty state per decision</t>
        </is>
      </c>
      <c r="J10" s="4" t="inlineStr">
        <is>
          <t>UI</t>
        </is>
      </c>
      <c r="K10" s="4" t="inlineStr">
        <is>
          <t>Yes</t>
        </is>
      </c>
      <c r="L10" s="4" t="inlineStr">
        <is>
          <t>Medium</t>
        </is>
      </c>
      <c r="M10" s="4" t="inlineStr">
        <is>
          <t>–</t>
        </is>
      </c>
      <c r="N10" s="4" t="inlineStr">
        <is>
          <t>Not run</t>
        </is>
      </c>
      <c r="O10" s="4" t="inlineStr"/>
      <c r="P10" s="4" t="inlineStr"/>
    </row>
    <row r="11" ht="31" customHeight="1">
      <c r="A11" s="17" t="inlineStr">
        <is>
          <t>TC-010</t>
        </is>
      </c>
      <c r="B11" s="4" t="inlineStr">
        <is>
          <t>LS-070</t>
        </is>
      </c>
      <c r="C11" s="4" t="inlineStr">
        <is>
          <t>FR-04</t>
        </is>
      </c>
      <c r="D11" s="4" t="inlineStr">
        <is>
          <t>SCR-03</t>
        </is>
      </c>
      <c r="E11" s="4" t="inlineStr">
        <is>
          <t>en</t>
        </is>
      </c>
      <c r="F11" s="4" t="inlineStr">
        <is>
          <t>Home navigation</t>
        </is>
      </c>
      <c r="G11" s="4" t="inlineStr">
        <is>
          <t>On Home</t>
        </is>
      </c>
      <c r="H11" s="4" t="inlineStr">
        <is>
          <t>Tap bell, avatar, hero CTA, continue, tile, card, banner link</t>
        </is>
      </c>
      <c r="I11" s="4" t="inlineStr">
        <is>
          <t>Each opens correct screen per spec</t>
        </is>
      </c>
      <c r="J11" s="4" t="inlineStr">
        <is>
          <t>UI</t>
        </is>
      </c>
      <c r="K11" s="4" t="inlineStr">
        <is>
          <t>Yes</t>
        </is>
      </c>
      <c r="L11" s="4" t="inlineStr">
        <is>
          <t>High</t>
        </is>
      </c>
      <c r="M11" s="4" t="inlineStr">
        <is>
          <t>–</t>
        </is>
      </c>
      <c r="N11" s="4" t="inlineStr">
        <is>
          <t>Not run</t>
        </is>
      </c>
      <c r="O11" s="4" t="inlineStr"/>
      <c r="P11" s="4" t="inlineStr"/>
    </row>
    <row r="12" ht="31" customHeight="1">
      <c r="A12" s="17" t="inlineStr">
        <is>
          <t>TC-011</t>
        </is>
      </c>
      <c r="B12" s="4" t="inlineStr">
        <is>
          <t>LS-071</t>
        </is>
      </c>
      <c r="C12" s="4" t="inlineStr">
        <is>
          <t>FR-05</t>
        </is>
      </c>
      <c r="D12" s="4" t="inlineStr">
        <is>
          <t>SCR-04a</t>
        </is>
      </c>
      <c r="E12" s="4" t="inlineStr">
        <is>
          <t>en</t>
        </is>
      </c>
      <c r="F12" s="4" t="inlineStr">
        <is>
          <t>Live search</t>
        </is>
      </c>
      <c r="G12" s="4" t="inlineStr">
        <is>
          <t>On Discover</t>
        </is>
      </c>
      <c r="H12" s="4" t="inlineStr">
        <is>
          <t>Type 'moon'</t>
        </is>
      </c>
      <c r="I12" s="4" t="inlineStr">
        <is>
          <t>Featured hidden; title 'Results for “moon”'; Mira and the Moonlit Garden shown</t>
        </is>
      </c>
      <c r="J12" s="4" t="inlineStr">
        <is>
          <t>UI</t>
        </is>
      </c>
      <c r="K12" s="4" t="inlineStr">
        <is>
          <t>Yes</t>
        </is>
      </c>
      <c r="L12" s="4" t="inlineStr">
        <is>
          <t>High</t>
        </is>
      </c>
      <c r="M12" s="4" t="inlineStr">
        <is>
          <t>Query 'moon'</t>
        </is>
      </c>
      <c r="N12" s="4" t="inlineStr">
        <is>
          <t>Not run</t>
        </is>
      </c>
      <c r="O12" s="4" t="inlineStr"/>
      <c r="P12" s="4" t="inlineStr"/>
    </row>
    <row r="13" ht="18" customHeight="1">
      <c r="A13" s="17" t="inlineStr">
        <is>
          <t>TC-012</t>
        </is>
      </c>
      <c r="B13" s="4" t="inlineStr">
        <is>
          <t>LS-071</t>
        </is>
      </c>
      <c r="C13" s="4" t="inlineStr">
        <is>
          <t>FR-05</t>
        </is>
      </c>
      <c r="D13" s="4" t="inlineStr">
        <is>
          <t>SCR-04a</t>
        </is>
      </c>
      <c r="E13" s="4" t="inlineStr">
        <is>
          <t>kn</t>
        </is>
      </c>
      <c r="F13" s="4" t="inlineStr">
        <is>
          <t>Search Kannada title</t>
        </is>
      </c>
      <c r="G13" s="4" t="inlineStr">
        <is>
          <t>Language ಕನ್ನಡ</t>
        </is>
      </c>
      <c r="H13" s="4" t="inlineStr">
        <is>
          <t>Type part of a Kannada title</t>
        </is>
      </c>
      <c r="I13" s="4" t="inlineStr">
        <is>
          <t>Matching story shown</t>
        </is>
      </c>
      <c r="J13" s="4" t="inlineStr">
        <is>
          <t>Localization</t>
        </is>
      </c>
      <c r="K13" s="4" t="inlineStr">
        <is>
          <t>Yes</t>
        </is>
      </c>
      <c r="L13" s="4" t="inlineStr">
        <is>
          <t>High</t>
        </is>
      </c>
      <c r="M13" s="4" t="inlineStr">
        <is>
          <t>KN query</t>
        </is>
      </c>
      <c r="N13" s="4" t="inlineStr">
        <is>
          <t>Not run</t>
        </is>
      </c>
      <c r="O13" s="4" t="inlineStr"/>
      <c r="P13" s="4" t="inlineStr"/>
    </row>
    <row r="14" ht="18" customHeight="1">
      <c r="A14" s="17" t="inlineStr">
        <is>
          <t>TC-013</t>
        </is>
      </c>
      <c r="B14" s="4" t="inlineStr">
        <is>
          <t>LS-072</t>
        </is>
      </c>
      <c r="C14" s="4" t="inlineStr">
        <is>
          <t>FR-05</t>
        </is>
      </c>
      <c r="D14" s="4" t="inlineStr">
        <is>
          <t>SCR-04b</t>
        </is>
      </c>
      <c r="E14" s="4" t="inlineStr">
        <is>
          <t>en</t>
        </is>
      </c>
      <c r="F14" s="4" t="inlineStr">
        <is>
          <t>No results</t>
        </is>
      </c>
      <c r="G14" s="4" t="inlineStr">
        <is>
          <t>On Discover</t>
        </is>
      </c>
      <c r="H14" s="4" t="inlineStr">
        <is>
          <t>Type 'zzz'; tap Clear search</t>
        </is>
      </c>
      <c r="I14" s="4" t="inlineStr">
        <is>
          <t>Empty state shown; clear restores All + featured</t>
        </is>
      </c>
      <c r="J14" s="4" t="inlineStr">
        <is>
          <t>UI</t>
        </is>
      </c>
      <c r="K14" s="4" t="inlineStr">
        <is>
          <t>Yes</t>
        </is>
      </c>
      <c r="L14" s="4" t="inlineStr">
        <is>
          <t>Medium</t>
        </is>
      </c>
      <c r="M14" s="4" t="inlineStr">
        <is>
          <t>'zzz'</t>
        </is>
      </c>
      <c r="N14" s="4" t="inlineStr">
        <is>
          <t>Not run</t>
        </is>
      </c>
      <c r="O14" s="4" t="inlineStr"/>
      <c r="P14" s="4" t="inlineStr"/>
    </row>
    <row r="15" ht="18" customHeight="1">
      <c r="A15" s="17" t="inlineStr">
        <is>
          <t>TC-014</t>
        </is>
      </c>
      <c r="B15" s="4" t="inlineStr">
        <is>
          <t>LS-071</t>
        </is>
      </c>
      <c r="C15" s="4" t="inlineStr">
        <is>
          <t>FR-05</t>
        </is>
      </c>
      <c r="D15" s="4" t="inlineStr">
        <is>
          <t>SCR-04a</t>
        </is>
      </c>
      <c r="E15" s="4" t="inlineStr">
        <is>
          <t>en</t>
        </is>
      </c>
      <c r="F15" s="4" t="inlineStr">
        <is>
          <t>Category chip filter</t>
        </is>
      </c>
      <c r="G15" s="4" t="inlineStr">
        <is>
          <t>On Discover</t>
        </is>
      </c>
      <c r="H15" s="4" t="inlineStr">
        <is>
          <t>Tap 'Space'</t>
        </is>
      </c>
      <c r="I15" s="4" t="inlineStr">
        <is>
          <t>Only Space stories in grid</t>
        </is>
      </c>
      <c r="J15" s="4" t="inlineStr">
        <is>
          <t>UI</t>
        </is>
      </c>
      <c r="K15" s="4" t="inlineStr">
        <is>
          <t>Yes</t>
        </is>
      </c>
      <c r="L15" s="4" t="inlineStr">
        <is>
          <t>Medium</t>
        </is>
      </c>
      <c r="M15" s="4" t="inlineStr">
        <is>
          <t>–</t>
        </is>
      </c>
      <c r="N15" s="4" t="inlineStr">
        <is>
          <t>Not run</t>
        </is>
      </c>
      <c r="O15" s="4" t="inlineStr"/>
      <c r="P15" s="4" t="inlineStr"/>
    </row>
    <row r="16" ht="18" customHeight="1">
      <c r="A16" s="17" t="inlineStr">
        <is>
          <t>TC-015</t>
        </is>
      </c>
      <c r="B16" s="4" t="inlineStr">
        <is>
          <t>LS-073</t>
        </is>
      </c>
      <c r="C16" s="4" t="inlineStr">
        <is>
          <t>FR-06</t>
        </is>
      </c>
      <c r="D16" s="4" t="inlineStr">
        <is>
          <t>SCR-05</t>
        </is>
      </c>
      <c r="E16" s="4" t="inlineStr">
        <is>
          <t>en</t>
        </is>
      </c>
      <c r="F16" s="4" t="inlineStr">
        <is>
          <t>Sort shortest first</t>
        </is>
      </c>
      <c r="G16" s="4" t="inlineStr">
        <is>
          <t>On Category</t>
        </is>
      </c>
      <c r="H16" s="4" t="inlineStr">
        <is>
          <t>Select Shortest first</t>
        </is>
      </c>
      <c r="I16" s="4" t="inlineStr">
        <is>
          <t>Rows ordered by minutes ascending</t>
        </is>
      </c>
      <c r="J16" s="4" t="inlineStr">
        <is>
          <t>Unit</t>
        </is>
      </c>
      <c r="K16" s="4" t="inlineStr">
        <is>
          <t>Yes</t>
        </is>
      </c>
      <c r="L16" s="4" t="inlineStr">
        <is>
          <t>Medium</t>
        </is>
      </c>
      <c r="M16" s="4" t="inlineStr">
        <is>
          <t>–</t>
        </is>
      </c>
      <c r="N16" s="4" t="inlineStr">
        <is>
          <t>Not run</t>
        </is>
      </c>
      <c r="O16" s="4" t="inlineStr"/>
      <c r="P16" s="4" t="inlineStr"/>
    </row>
    <row r="17" ht="18" customHeight="1">
      <c r="A17" s="17" t="inlineStr">
        <is>
          <t>TC-016</t>
        </is>
      </c>
      <c r="B17" s="4" t="inlineStr">
        <is>
          <t>LS-074</t>
        </is>
      </c>
      <c r="C17" s="4" t="inlineStr">
        <is>
          <t>FR-07</t>
        </is>
      </c>
      <c r="D17" s="4" t="inlineStr">
        <is>
          <t>SCR-06</t>
        </is>
      </c>
      <c r="E17" s="4" t="inlineStr">
        <is>
          <t>en</t>
        </is>
      </c>
      <c r="F17" s="4" t="inlineStr">
        <is>
          <t>Detail actions</t>
        </is>
      </c>
      <c r="G17" s="4" t="inlineStr">
        <is>
          <t>On Detail</t>
        </is>
      </c>
      <c r="H17" s="4" t="inlineStr">
        <is>
          <t>Tap Listen; back; tap Read</t>
        </is>
      </c>
      <c r="I17" s="4" t="inlineStr">
        <is>
          <t>Player then Reader open</t>
        </is>
      </c>
      <c r="J17" s="4" t="inlineStr">
        <is>
          <t>UI</t>
        </is>
      </c>
      <c r="K17" s="4" t="inlineStr">
        <is>
          <t>Yes</t>
        </is>
      </c>
      <c r="L17" s="4" t="inlineStr">
        <is>
          <t>High</t>
        </is>
      </c>
      <c r="M17" s="4" t="inlineStr">
        <is>
          <t>Story 1</t>
        </is>
      </c>
      <c r="N17" s="4" t="inlineStr">
        <is>
          <t>Not run</t>
        </is>
      </c>
      <c r="O17" s="4" t="inlineStr"/>
      <c r="P17" s="4" t="inlineStr"/>
    </row>
    <row r="18" ht="31" customHeight="1">
      <c r="A18" s="17" t="inlineStr">
        <is>
          <t>TC-017</t>
        </is>
      </c>
      <c r="B18" s="4" t="inlineStr">
        <is>
          <t>LS-075</t>
        </is>
      </c>
      <c r="C18" s="4" t="inlineStr">
        <is>
          <t>FR-13</t>
        </is>
      </c>
      <c r="D18" s="4" t="inlineStr">
        <is>
          <t>Multiple</t>
        </is>
      </c>
      <c r="E18" s="4" t="inlineStr">
        <is>
          <t>en</t>
        </is>
      </c>
      <c r="F18" s="4" t="inlineStr">
        <is>
          <t>Favourite consistency</t>
        </is>
      </c>
      <c r="G18" s="4" t="inlineStr">
        <is>
          <t>Story unfavourited</t>
        </is>
      </c>
      <c r="H18" s="4" t="inlineStr">
        <is>
          <t>Favourite on Detail; open Home and My Stories ▸ Favourites</t>
        </is>
      </c>
      <c r="I18" s="4" t="inlineStr">
        <is>
          <t>Heart active everywhere; listed in Favourites</t>
        </is>
      </c>
      <c r="J18" s="4" t="inlineStr">
        <is>
          <t>Integration</t>
        </is>
      </c>
      <c r="K18" s="4" t="inlineStr">
        <is>
          <t>Yes</t>
        </is>
      </c>
      <c r="L18" s="4" t="inlineStr">
        <is>
          <t>High</t>
        </is>
      </c>
      <c r="M18" s="4" t="inlineStr">
        <is>
          <t>Story 3</t>
        </is>
      </c>
      <c r="N18" s="4" t="inlineStr">
        <is>
          <t>Not run</t>
        </is>
      </c>
      <c r="O18" s="4" t="inlineStr"/>
      <c r="P18" s="4" t="inlineStr"/>
    </row>
    <row r="19" ht="18" customHeight="1">
      <c r="A19" s="17" t="inlineStr">
        <is>
          <t>TC-018</t>
        </is>
      </c>
      <c r="B19" s="4" t="inlineStr">
        <is>
          <t>LS-075</t>
        </is>
      </c>
      <c r="C19" s="4" t="inlineStr">
        <is>
          <t>FR-13</t>
        </is>
      </c>
      <c r="D19" s="4" t="inlineStr">
        <is>
          <t>Multiple</t>
        </is>
      </c>
      <c r="E19" s="4" t="inlineStr">
        <is>
          <t>en</t>
        </is>
      </c>
      <c r="F19" s="4" t="inlineStr">
        <is>
          <t>Favourite persistence</t>
        </is>
      </c>
      <c r="G19" s="4" t="inlineStr">
        <is>
          <t>Story favourited</t>
        </is>
      </c>
      <c r="H19" s="4" t="inlineStr">
        <is>
          <t>Kill and relaunch app</t>
        </is>
      </c>
      <c r="I19" s="4" t="inlineStr">
        <is>
          <t>Still favourited</t>
        </is>
      </c>
      <c r="J19" s="4" t="inlineStr">
        <is>
          <t>Integration</t>
        </is>
      </c>
      <c r="K19" s="4" t="inlineStr">
        <is>
          <t>Yes</t>
        </is>
      </c>
      <c r="L19" s="4" t="inlineStr">
        <is>
          <t>High</t>
        </is>
      </c>
      <c r="M19" s="4" t="inlineStr">
        <is>
          <t>–</t>
        </is>
      </c>
      <c r="N19" s="4" t="inlineStr">
        <is>
          <t>Not run</t>
        </is>
      </c>
      <c r="O19" s="4" t="inlineStr"/>
      <c r="P19" s="4" t="inlineStr"/>
    </row>
    <row r="20" ht="31" customHeight="1">
      <c r="A20" s="17" t="inlineStr">
        <is>
          <t>TC-019</t>
        </is>
      </c>
      <c r="B20" s="4" t="inlineStr">
        <is>
          <t>LS-081</t>
        </is>
      </c>
      <c r="C20" s="4" t="inlineStr">
        <is>
          <t>FR-08</t>
        </is>
      </c>
      <c r="D20" s="4" t="inlineStr">
        <is>
          <t>SCR-07</t>
        </is>
      </c>
      <c r="E20" s="4" t="inlineStr">
        <is>
          <t>en</t>
        </is>
      </c>
      <c r="F20" s="4" t="inlineStr">
        <is>
          <t>Empty submission</t>
        </is>
      </c>
      <c r="G20" s="4" t="inlineStr">
        <is>
          <t>On Create, empty text</t>
        </is>
      </c>
      <c r="H20" s="4" t="inlineStr">
        <is>
          <t>Tap Create My Story</t>
        </is>
      </c>
      <c r="I20" s="4" t="inlineStr">
        <is>
          <t>Error banner shown and announced; stays on Create</t>
        </is>
      </c>
      <c r="J20" s="4" t="inlineStr">
        <is>
          <t>UI</t>
        </is>
      </c>
      <c r="K20" s="4" t="inlineStr">
        <is>
          <t>Yes</t>
        </is>
      </c>
      <c r="L20" s="4" t="inlineStr">
        <is>
          <t>Highest</t>
        </is>
      </c>
      <c r="M20" s="4" t="inlineStr">
        <is>
          <t>–</t>
        </is>
      </c>
      <c r="N20" s="4" t="inlineStr">
        <is>
          <t>Not run</t>
        </is>
      </c>
      <c r="O20" s="4" t="inlineStr"/>
      <c r="P20" s="4" t="inlineStr"/>
    </row>
    <row r="21" ht="18" customHeight="1">
      <c r="A21" s="17" t="inlineStr">
        <is>
          <t>TC-020</t>
        </is>
      </c>
      <c r="B21" s="4" t="inlineStr">
        <is>
          <t>LS-081</t>
        </is>
      </c>
      <c r="C21" s="4" t="inlineStr">
        <is>
          <t>FR-08</t>
        </is>
      </c>
      <c r="D21" s="4" t="inlineStr">
        <is>
          <t>SCR-07</t>
        </is>
      </c>
      <c r="E21" s="4" t="inlineStr">
        <is>
          <t>en</t>
        </is>
      </c>
      <c r="F21" s="4" t="inlineStr">
        <is>
          <t>Error clears on typing</t>
        </is>
      </c>
      <c r="G21" s="4" t="inlineStr">
        <is>
          <t>Error visible</t>
        </is>
      </c>
      <c r="H21" s="4" t="inlineStr">
        <is>
          <t>Type a letter</t>
        </is>
      </c>
      <c r="I21" s="4" t="inlineStr">
        <is>
          <t>Error disappears</t>
        </is>
      </c>
      <c r="J21" s="4" t="inlineStr">
        <is>
          <t>UI</t>
        </is>
      </c>
      <c r="K21" s="4" t="inlineStr">
        <is>
          <t>Yes</t>
        </is>
      </c>
      <c r="L21" s="4" t="inlineStr">
        <is>
          <t>Medium</t>
        </is>
      </c>
      <c r="M21" s="4" t="inlineStr">
        <is>
          <t>–</t>
        </is>
      </c>
      <c r="N21" s="4" t="inlineStr">
        <is>
          <t>Not run</t>
        </is>
      </c>
      <c r="O21" s="4" t="inlineStr"/>
      <c r="P21" s="4" t="inlineStr"/>
    </row>
    <row r="22" ht="18" customHeight="1">
      <c r="A22" s="17" t="inlineStr">
        <is>
          <t>TC-021</t>
        </is>
      </c>
      <c r="B22" s="4" t="inlineStr">
        <is>
          <t>LS-080</t>
        </is>
      </c>
      <c r="C22" s="4" t="inlineStr">
        <is>
          <t>FR-08</t>
        </is>
      </c>
      <c r="D22" s="4" t="inlineStr">
        <is>
          <t>SCR-07</t>
        </is>
      </c>
      <c r="E22" s="4" t="inlineStr">
        <is>
          <t>en</t>
        </is>
      </c>
      <c r="F22" s="4" t="inlineStr">
        <is>
          <t>Character limit</t>
        </is>
      </c>
      <c r="G22" s="4" t="inlineStr">
        <is>
          <t>On Create</t>
        </is>
      </c>
      <c r="H22" s="4" t="inlineStr">
        <is>
          <t>Paste 600 chars</t>
        </is>
      </c>
      <c r="I22" s="4" t="inlineStr">
        <is>
          <t>Input capped at limit; counter shows 500/500</t>
        </is>
      </c>
      <c r="J22" s="4" t="inlineStr">
        <is>
          <t>Unit</t>
        </is>
      </c>
      <c r="K22" s="4" t="inlineStr">
        <is>
          <t>Yes</t>
        </is>
      </c>
      <c r="L22" s="4" t="inlineStr">
        <is>
          <t>High</t>
        </is>
      </c>
      <c r="M22" s="4" t="inlineStr">
        <is>
          <t>600-char text</t>
        </is>
      </c>
      <c r="N22" s="4" t="inlineStr">
        <is>
          <t>Not run</t>
        </is>
      </c>
      <c r="O22" s="4" t="inlineStr"/>
      <c r="P22" s="4" t="inlineStr"/>
    </row>
    <row r="23" ht="18" customHeight="1">
      <c r="A23" s="17" t="inlineStr">
        <is>
          <t>TC-022</t>
        </is>
      </c>
      <c r="B23" s="4" t="inlineStr">
        <is>
          <t>LS-080</t>
        </is>
      </c>
      <c r="C23" s="4" t="inlineStr">
        <is>
          <t>FR-08</t>
        </is>
      </c>
      <c r="D23" s="4" t="inlineStr">
        <is>
          <t>SCR-07</t>
        </is>
      </c>
      <c r="E23" s="4" t="inlineStr">
        <is>
          <t>en</t>
        </is>
      </c>
      <c r="F23" s="4" t="inlineStr">
        <is>
          <t>Suggestion fills text</t>
        </is>
      </c>
      <c r="G23" s="4" t="inlineStr">
        <is>
          <t>On Create</t>
        </is>
      </c>
      <c r="H23" s="4" t="inlineStr">
        <is>
          <t>Tap 'A day at school'</t>
        </is>
      </c>
      <c r="I23" s="4" t="inlineStr">
        <is>
          <t>Textarea filled with sample sentence</t>
        </is>
      </c>
      <c r="J23" s="4" t="inlineStr">
        <is>
          <t>UI</t>
        </is>
      </c>
      <c r="K23" s="4" t="inlineStr">
        <is>
          <t>Yes</t>
        </is>
      </c>
      <c r="L23" s="4" t="inlineStr">
        <is>
          <t>Low</t>
        </is>
      </c>
      <c r="M23" s="4" t="inlineStr">
        <is>
          <t>–</t>
        </is>
      </c>
      <c r="N23" s="4" t="inlineStr">
        <is>
          <t>Not run</t>
        </is>
      </c>
      <c r="O23" s="4" t="inlineStr"/>
      <c r="P23" s="4" t="inlineStr"/>
    </row>
    <row r="24" ht="18" customHeight="1">
      <c r="A24" s="17" t="inlineStr">
        <is>
          <t>TC-023</t>
        </is>
      </c>
      <c r="B24" s="4" t="inlineStr">
        <is>
          <t>LS-081</t>
        </is>
      </c>
      <c r="C24" s="4" t="inlineStr">
        <is>
          <t>FR-21</t>
        </is>
      </c>
      <c r="D24" s="4" t="inlineStr">
        <is>
          <t>SCR-07</t>
        </is>
      </c>
      <c r="E24" s="4" t="inlineStr">
        <is>
          <t>en</t>
        </is>
      </c>
      <c r="F24" s="4" t="inlineStr">
        <is>
          <t>Story language options</t>
        </is>
      </c>
      <c r="G24" s="4" t="inlineStr">
        <is>
          <t>More options open</t>
        </is>
      </c>
      <c r="H24" s="4" t="inlineStr">
        <is>
          <t>Open Story language</t>
        </is>
      </c>
      <c r="I24" s="4" t="inlineStr">
        <is>
          <t>Only English and ಕನ್ನಡ</t>
        </is>
      </c>
      <c r="J24" s="4" t="inlineStr">
        <is>
          <t>UI</t>
        </is>
      </c>
      <c r="K24" s="4" t="inlineStr">
        <is>
          <t>Yes</t>
        </is>
      </c>
      <c r="L24" s="4" t="inlineStr">
        <is>
          <t>High</t>
        </is>
      </c>
      <c r="M24" s="4" t="inlineStr">
        <is>
          <t>–</t>
        </is>
      </c>
      <c r="N24" s="4" t="inlineStr">
        <is>
          <t>Not run</t>
        </is>
      </c>
      <c r="O24" s="4" t="inlineStr"/>
      <c r="P24" s="4" t="inlineStr"/>
    </row>
    <row r="25" ht="18" customHeight="1">
      <c r="A25" s="17" t="inlineStr">
        <is>
          <t>TC-024</t>
        </is>
      </c>
      <c r="B25" s="4" t="inlineStr">
        <is>
          <t>LS-082</t>
        </is>
      </c>
      <c r="C25" s="4" t="inlineStr">
        <is>
          <t>FR-09</t>
        </is>
      </c>
      <c r="D25" s="4" t="inlineStr">
        <is>
          <t>SCR-08</t>
        </is>
      </c>
      <c r="E25" s="4" t="inlineStr">
        <is>
          <t>en</t>
        </is>
      </c>
      <c r="F25" s="4" t="inlineStr">
        <is>
          <t>Deterministic generation</t>
        </is>
      </c>
      <c r="G25" s="4" t="inlineStr">
        <is>
          <t>Valid request</t>
        </is>
      </c>
      <c r="H25" s="4" t="inlineStr">
        <is>
          <t>Generate twice with same input</t>
        </is>
      </c>
      <c r="I25" s="4" t="inlineStr">
        <is>
          <t>Identical story output</t>
        </is>
      </c>
      <c r="J25" s="4" t="inlineStr">
        <is>
          <t>Unit</t>
        </is>
      </c>
      <c r="K25" s="4" t="inlineStr">
        <is>
          <t>Yes</t>
        </is>
      </c>
      <c r="L25" s="4" t="inlineStr">
        <is>
          <t>High</t>
        </is>
      </c>
      <c r="M25" s="4" t="inlineStr">
        <is>
          <t>Fixed request</t>
        </is>
      </c>
      <c r="N25" s="4" t="inlineStr">
        <is>
          <t>Not run</t>
        </is>
      </c>
      <c r="O25" s="4" t="inlineStr"/>
      <c r="P25" s="4" t="inlineStr"/>
    </row>
    <row r="26" ht="31" customHeight="1">
      <c r="A26" s="17" t="inlineStr">
        <is>
          <t>TC-025</t>
        </is>
      </c>
      <c r="B26" s="4" t="inlineStr">
        <is>
          <t>LS-083</t>
        </is>
      </c>
      <c r="C26" s="4" t="inlineStr">
        <is>
          <t>FR-09</t>
        </is>
      </c>
      <c r="D26" s="4" t="inlineStr">
        <is>
          <t>SCR-08</t>
        </is>
      </c>
      <c r="E26" s="4" t="inlineStr">
        <is>
          <t>en</t>
        </is>
      </c>
      <c r="F26" s="4" t="inlineStr">
        <is>
          <t>Stage progression</t>
        </is>
      </c>
      <c r="G26" s="4" t="inlineStr">
        <is>
          <t>Generating</t>
        </is>
      </c>
      <c r="H26" s="4" t="inlineStr">
        <is>
          <t>Advance test clock</t>
        </is>
      </c>
      <c r="I26" s="4" t="inlineStr">
        <is>
          <t>Stage 1 &lt;38%, 2 &lt;76%, 3 ≥76%; auto-advance at 100%</t>
        </is>
      </c>
      <c r="J26" s="4" t="inlineStr">
        <is>
          <t>UI</t>
        </is>
      </c>
      <c r="K26" s="4" t="inlineStr">
        <is>
          <t>Yes</t>
        </is>
      </c>
      <c r="L26" s="4" t="inlineStr">
        <is>
          <t>High</t>
        </is>
      </c>
      <c r="M26" s="4" t="inlineStr">
        <is>
          <t>Test clock</t>
        </is>
      </c>
      <c r="N26" s="4" t="inlineStr">
        <is>
          <t>Not run</t>
        </is>
      </c>
      <c r="O26" s="4" t="inlineStr"/>
      <c r="P26" s="4" t="inlineStr"/>
    </row>
    <row r="27" ht="18" customHeight="1">
      <c r="A27" s="17" t="inlineStr">
        <is>
          <t>TC-026</t>
        </is>
      </c>
      <c r="B27" s="4" t="inlineStr">
        <is>
          <t>LS-083</t>
        </is>
      </c>
      <c r="C27" s="4" t="inlineStr">
        <is>
          <t>FR-09</t>
        </is>
      </c>
      <c r="D27" s="4" t="inlineStr">
        <is>
          <t>SCR-08</t>
        </is>
      </c>
      <c r="E27" s="4" t="inlineStr">
        <is>
          <t>en</t>
        </is>
      </c>
      <c r="F27" s="4" t="inlineStr">
        <is>
          <t>Cancel and retry</t>
        </is>
      </c>
      <c r="G27" s="4" t="inlineStr">
        <is>
          <t>Generating</t>
        </is>
      </c>
      <c r="H27" s="4" t="inlineStr">
        <is>
          <t>Tap ✕; tap Try again</t>
        </is>
      </c>
      <c r="I27" s="4" t="inlineStr">
        <is>
          <t>Paused state; retry restarts progress</t>
        </is>
      </c>
      <c r="J27" s="4" t="inlineStr">
        <is>
          <t>UI</t>
        </is>
      </c>
      <c r="K27" s="4" t="inlineStr">
        <is>
          <t>Yes</t>
        </is>
      </c>
      <c r="L27" s="4" t="inlineStr">
        <is>
          <t>High</t>
        </is>
      </c>
      <c r="M27" s="4" t="inlineStr">
        <is>
          <t>–</t>
        </is>
      </c>
      <c r="N27" s="4" t="inlineStr">
        <is>
          <t>Not run</t>
        </is>
      </c>
      <c r="O27" s="4" t="inlineStr"/>
      <c r="P27" s="4" t="inlineStr"/>
    </row>
    <row r="28" ht="18" customHeight="1">
      <c r="A28" s="17" t="inlineStr">
        <is>
          <t>TC-027</t>
        </is>
      </c>
      <c r="B28" s="4" t="inlineStr">
        <is>
          <t>LS-083</t>
        </is>
      </c>
      <c r="C28" s="4" t="inlineStr">
        <is>
          <t>FR-09</t>
        </is>
      </c>
      <c r="D28" s="4" t="inlineStr">
        <is>
          <t>SCR-08</t>
        </is>
      </c>
      <c r="E28" s="4" t="inlineStr">
        <is>
          <t>en</t>
        </is>
      </c>
      <c r="F28" s="4" t="inlineStr">
        <is>
          <t>Back to idea keeps text</t>
        </is>
      </c>
      <c r="G28" s="4" t="inlineStr">
        <is>
          <t>Paused</t>
        </is>
      </c>
      <c r="H28" s="4" t="inlineStr">
        <is>
          <t>Tap Back to your idea</t>
        </is>
      </c>
      <c r="I28" s="4" t="inlineStr">
        <is>
          <t>Create opens with previous text intact</t>
        </is>
      </c>
      <c r="J28" s="4" t="inlineStr">
        <is>
          <t>UI</t>
        </is>
      </c>
      <c r="K28" s="4" t="inlineStr">
        <is>
          <t>Yes</t>
        </is>
      </c>
      <c r="L28" s="4" t="inlineStr">
        <is>
          <t>Medium</t>
        </is>
      </c>
      <c r="M28" s="4" t="inlineStr">
        <is>
          <t>–</t>
        </is>
      </c>
      <c r="N28" s="4" t="inlineStr">
        <is>
          <t>Not run</t>
        </is>
      </c>
      <c r="O28" s="4" t="inlineStr"/>
      <c r="P28" s="4" t="inlineStr"/>
    </row>
    <row r="29" ht="18" customHeight="1">
      <c r="A29" s="17" t="inlineStr">
        <is>
          <t>TC-028</t>
        </is>
      </c>
      <c r="B29" s="4" t="inlineStr">
        <is>
          <t>LS-084</t>
        </is>
      </c>
      <c r="C29" s="4" t="inlineStr">
        <is>
          <t>FR-10</t>
        </is>
      </c>
      <c r="D29" s="4" t="inlineStr">
        <is>
          <t>SCR-09</t>
        </is>
      </c>
      <c r="E29" s="4" t="inlineStr">
        <is>
          <t>kn</t>
        </is>
      </c>
      <c r="F29" s="4" t="inlineStr">
        <is>
          <t>Generated in Kannada</t>
        </is>
      </c>
      <c r="G29" s="4" t="inlineStr">
        <is>
          <t>Story language ಕನ್ನಡ</t>
        </is>
      </c>
      <c r="H29" s="4" t="inlineStr">
        <is>
          <t>Generate story</t>
        </is>
      </c>
      <c r="I29" s="4" t="inlineStr">
        <is>
          <t>Story Ready shows Kannada title, synopsis, peek</t>
        </is>
      </c>
      <c r="J29" s="4" t="inlineStr">
        <is>
          <t>Localization</t>
        </is>
      </c>
      <c r="K29" s="4" t="inlineStr">
        <is>
          <t>Yes</t>
        </is>
      </c>
      <c r="L29" s="4" t="inlineStr">
        <is>
          <t>High</t>
        </is>
      </c>
      <c r="M29" s="4" t="inlineStr">
        <is>
          <t>–</t>
        </is>
      </c>
      <c r="N29" s="4" t="inlineStr">
        <is>
          <t>Not run</t>
        </is>
      </c>
      <c r="O29" s="4" t="inlineStr"/>
      <c r="P29" s="4" t="inlineStr"/>
    </row>
    <row r="30" ht="18" customHeight="1">
      <c r="A30" s="17" t="inlineStr">
        <is>
          <t>TC-029</t>
        </is>
      </c>
      <c r="B30" s="4" t="inlineStr">
        <is>
          <t>LS-084</t>
        </is>
      </c>
      <c r="C30" s="4" t="inlineStr">
        <is>
          <t>FR-10</t>
        </is>
      </c>
      <c r="D30" s="4" t="inlineStr">
        <is>
          <t>SCR-09</t>
        </is>
      </c>
      <c r="E30" s="4" t="inlineStr">
        <is>
          <t>en</t>
        </is>
      </c>
      <c r="F30" s="4" t="inlineStr">
        <is>
          <t>Auto-saved to Created by Me</t>
        </is>
      </c>
      <c r="G30" s="4" t="inlineStr">
        <is>
          <t>Story ready</t>
        </is>
      </c>
      <c r="H30" s="4" t="inlineStr">
        <is>
          <t>Tap Saved row</t>
        </is>
      </c>
      <c r="I30" s="4" t="inlineStr">
        <is>
          <t>My Stories opens on Created by Me with the story</t>
        </is>
      </c>
      <c r="J30" s="4" t="inlineStr">
        <is>
          <t>Integration</t>
        </is>
      </c>
      <c r="K30" s="4" t="inlineStr">
        <is>
          <t>Yes</t>
        </is>
      </c>
      <c r="L30" s="4" t="inlineStr">
        <is>
          <t>High</t>
        </is>
      </c>
      <c r="M30" s="4" t="inlineStr">
        <is>
          <t>–</t>
        </is>
      </c>
      <c r="N30" s="4" t="inlineStr">
        <is>
          <t>Not run</t>
        </is>
      </c>
      <c r="O30" s="4" t="inlineStr"/>
      <c r="P30" s="4" t="inlineStr"/>
    </row>
    <row r="31" ht="18" customHeight="1">
      <c r="A31" s="17" t="inlineStr">
        <is>
          <t>TC-030</t>
        </is>
      </c>
      <c r="B31" s="4" t="inlineStr">
        <is>
          <t>LS-090</t>
        </is>
      </c>
      <c r="C31" s="4" t="inlineStr">
        <is>
          <t>FR-11</t>
        </is>
      </c>
      <c r="D31" s="4" t="inlineStr">
        <is>
          <t>SCR-10</t>
        </is>
      </c>
      <c r="E31" s="4" t="inlineStr">
        <is>
          <t>en</t>
        </is>
      </c>
      <c r="F31" s="4" t="inlineStr">
        <is>
          <t>Pagination bounds</t>
        </is>
      </c>
      <c r="G31" s="4" t="inlineStr">
        <is>
          <t>On Reader page 1</t>
        </is>
      </c>
      <c r="H31" s="4" t="inlineStr">
        <is>
          <t>Check Previous; go to last page; check Next</t>
        </is>
      </c>
      <c r="I31" s="4" t="inlineStr">
        <is>
          <t>Previous disabled on 1; Next disabled on last</t>
        </is>
      </c>
      <c r="J31" s="4" t="inlineStr">
        <is>
          <t>UI</t>
        </is>
      </c>
      <c r="K31" s="4" t="inlineStr">
        <is>
          <t>Yes</t>
        </is>
      </c>
      <c r="L31" s="4" t="inlineStr">
        <is>
          <t>High</t>
        </is>
      </c>
      <c r="M31" s="4" t="inlineStr">
        <is>
          <t>5-page story</t>
        </is>
      </c>
      <c r="N31" s="4" t="inlineStr">
        <is>
          <t>Not run</t>
        </is>
      </c>
      <c r="O31" s="4" t="inlineStr"/>
      <c r="P31" s="4" t="inlineStr"/>
    </row>
    <row r="32" ht="18" customHeight="1">
      <c r="A32" s="17" t="inlineStr">
        <is>
          <t>TC-031</t>
        </is>
      </c>
      <c r="B32" s="4" t="inlineStr">
        <is>
          <t>LS-090</t>
        </is>
      </c>
      <c r="C32" s="4" t="inlineStr">
        <is>
          <t>FR-11</t>
        </is>
      </c>
      <c r="D32" s="4" t="inlineStr">
        <is>
          <t>SCR-10</t>
        </is>
      </c>
      <c r="E32" s="4" t="inlineStr">
        <is>
          <t>en</t>
        </is>
      </c>
      <c r="F32" s="4" t="inlineStr">
        <is>
          <t>Text size limits</t>
        </is>
      </c>
      <c r="G32" s="4" t="inlineStr">
        <is>
          <t>On Reader</t>
        </is>
      </c>
      <c r="H32" s="4" t="inlineStr">
        <is>
          <t>Tap A+ ×5, A− ×10</t>
        </is>
      </c>
      <c r="I32" s="4" t="inlineStr">
        <is>
          <t>Scale clamps at 1.3 and 0.9</t>
        </is>
      </c>
      <c r="J32" s="4" t="inlineStr">
        <is>
          <t>Unit</t>
        </is>
      </c>
      <c r="K32" s="4" t="inlineStr">
        <is>
          <t>Yes</t>
        </is>
      </c>
      <c r="L32" s="4" t="inlineStr">
        <is>
          <t>Medium</t>
        </is>
      </c>
      <c r="M32" s="4" t="inlineStr">
        <is>
          <t>–</t>
        </is>
      </c>
      <c r="N32" s="4" t="inlineStr">
        <is>
          <t>Not run</t>
        </is>
      </c>
      <c r="O32" s="4" t="inlineStr"/>
      <c r="P32" s="4" t="inlineStr"/>
    </row>
    <row r="33" ht="18" customHeight="1">
      <c r="A33" s="17" t="inlineStr">
        <is>
          <t>TC-032</t>
        </is>
      </c>
      <c r="B33" s="4" t="inlineStr">
        <is>
          <t>LS-090</t>
        </is>
      </c>
      <c r="C33" s="4" t="inlineStr">
        <is>
          <t>NFR-04</t>
        </is>
      </c>
      <c r="D33" s="4" t="inlineStr">
        <is>
          <t>SCR-10</t>
        </is>
      </c>
      <c r="E33" s="4" t="inlineStr">
        <is>
          <t>kn</t>
        </is>
      </c>
      <c r="F33" s="4" t="inlineStr">
        <is>
          <t>Kannada reading at 200% font</t>
        </is>
      </c>
      <c r="G33" s="4" t="inlineStr">
        <is>
          <t>System font 2.0, ಕನ್ನಡ</t>
        </is>
      </c>
      <c r="H33" s="4" t="inlineStr">
        <is>
          <t>Open Reader</t>
        </is>
      </c>
      <c r="I33" s="4" t="inlineStr">
        <is>
          <t>Text wraps, scrolls, no clipping</t>
        </is>
      </c>
      <c r="J33" s="4" t="inlineStr">
        <is>
          <t>Accessibility</t>
        </is>
      </c>
      <c r="K33" s="4" t="inlineStr">
        <is>
          <t>Partly</t>
        </is>
      </c>
      <c r="L33" s="4" t="inlineStr">
        <is>
          <t>High</t>
        </is>
      </c>
      <c r="M33" s="4" t="inlineStr">
        <is>
          <t>–</t>
        </is>
      </c>
      <c r="N33" s="4" t="inlineStr">
        <is>
          <t>Not run</t>
        </is>
      </c>
      <c r="O33" s="4" t="inlineStr"/>
      <c r="P33" s="4" t="inlineStr"/>
    </row>
    <row r="34" ht="18" customHeight="1">
      <c r="A34" s="17" t="inlineStr">
        <is>
          <t>TC-033</t>
        </is>
      </c>
      <c r="B34" s="4" t="inlineStr">
        <is>
          <t>LS-091</t>
        </is>
      </c>
      <c r="C34" s="4" t="inlineStr">
        <is>
          <t>FR-24</t>
        </is>
      </c>
      <c r="D34" s="4" t="inlineStr">
        <is>
          <t>SCR-03</t>
        </is>
      </c>
      <c r="E34" s="4" t="inlineStr">
        <is>
          <t>en</t>
        </is>
      </c>
      <c r="F34" s="4" t="inlineStr">
        <is>
          <t>Resume reading</t>
        </is>
      </c>
      <c r="G34" s="4" t="inlineStr">
        <is>
          <t>Read to page 3</t>
        </is>
      </c>
      <c r="H34" s="4" t="inlineStr">
        <is>
          <t>Relaunch; tap continue</t>
        </is>
      </c>
      <c r="I34" s="4" t="inlineStr">
        <is>
          <t>Opens at page 3 / saved position</t>
        </is>
      </c>
      <c r="J34" s="4" t="inlineStr">
        <is>
          <t>Integration</t>
        </is>
      </c>
      <c r="K34" s="4" t="inlineStr">
        <is>
          <t>Yes</t>
        </is>
      </c>
      <c r="L34" s="4" t="inlineStr">
        <is>
          <t>Medium</t>
        </is>
      </c>
      <c r="M34" s="4" t="inlineStr">
        <is>
          <t>–</t>
        </is>
      </c>
      <c r="N34" s="4" t="inlineStr">
        <is>
          <t>Not run</t>
        </is>
      </c>
      <c r="O34" s="4" t="inlineStr"/>
      <c r="P34" s="4" t="inlineStr"/>
    </row>
    <row r="35" ht="18" customHeight="1">
      <c r="A35" s="17" t="inlineStr">
        <is>
          <t>TC-034</t>
        </is>
      </c>
      <c r="B35" s="4" t="inlineStr">
        <is>
          <t>LS-092</t>
        </is>
      </c>
      <c r="C35" s="4" t="inlineStr">
        <is>
          <t>FR-12</t>
        </is>
      </c>
      <c r="D35" s="4" t="inlineStr">
        <is>
          <t>SCR-11a</t>
        </is>
      </c>
      <c r="E35" s="4" t="inlineStr">
        <is>
          <t>en</t>
        </is>
      </c>
      <c r="F35" s="4" t="inlineStr">
        <is>
          <t>Play/pause &amp; ±15 s</t>
        </is>
      </c>
      <c r="G35" s="4" t="inlineStr">
        <is>
          <t>On Player</t>
        </is>
      </c>
      <c r="H35" s="4" t="inlineStr">
        <is>
          <t>Play, pause, +15, −15</t>
        </is>
      </c>
      <c r="I35" s="4" t="inlineStr">
        <is>
          <t>State and time update; times formatted mm:ss</t>
        </is>
      </c>
      <c r="J35" s="4" t="inlineStr">
        <is>
          <t>Unit</t>
        </is>
      </c>
      <c r="K35" s="4" t="inlineStr">
        <is>
          <t>Yes</t>
        </is>
      </c>
      <c r="L35" s="4" t="inlineStr">
        <is>
          <t>High</t>
        </is>
      </c>
      <c r="M35" s="4" t="inlineStr">
        <is>
          <t>8:00 track</t>
        </is>
      </c>
      <c r="N35" s="4" t="inlineStr">
        <is>
          <t>Not run</t>
        </is>
      </c>
      <c r="O35" s="4" t="inlineStr"/>
      <c r="P35" s="4" t="inlineStr"/>
    </row>
    <row r="36" ht="18" customHeight="1">
      <c r="A36" s="17" t="inlineStr">
        <is>
          <t>TC-035</t>
        </is>
      </c>
      <c r="B36" s="4" t="inlineStr">
        <is>
          <t>LS-092</t>
        </is>
      </c>
      <c r="C36" s="4" t="inlineStr">
        <is>
          <t>FR-12</t>
        </is>
      </c>
      <c r="D36" s="4" t="inlineStr">
        <is>
          <t>SCR-11a</t>
        </is>
      </c>
      <c r="E36" s="4" t="inlineStr">
        <is>
          <t>en</t>
        </is>
      </c>
      <c r="F36" s="4" t="inlineStr">
        <is>
          <t>Speed cycle</t>
        </is>
      </c>
      <c r="G36" s="4" t="inlineStr">
        <is>
          <t>On Player</t>
        </is>
      </c>
      <c r="H36" s="4" t="inlineStr">
        <is>
          <t>Tap Speed ×4</t>
        </is>
      </c>
      <c r="I36" s="4" t="inlineStr">
        <is>
          <t>1× → 1.25× → 1.5× → 0.75× → 1×</t>
        </is>
      </c>
      <c r="J36" s="4" t="inlineStr">
        <is>
          <t>Unit</t>
        </is>
      </c>
      <c r="K36" s="4" t="inlineStr">
        <is>
          <t>Yes</t>
        </is>
      </c>
      <c r="L36" s="4" t="inlineStr">
        <is>
          <t>Low</t>
        </is>
      </c>
      <c r="M36" s="4" t="inlineStr">
        <is>
          <t>–</t>
        </is>
      </c>
      <c r="N36" s="4" t="inlineStr">
        <is>
          <t>Not run</t>
        </is>
      </c>
      <c r="O36" s="4" t="inlineStr"/>
      <c r="P36" s="4" t="inlineStr"/>
    </row>
    <row r="37" ht="18" customHeight="1">
      <c r="A37" s="17" t="inlineStr">
        <is>
          <t>TC-036</t>
        </is>
      </c>
      <c r="B37" s="4" t="inlineStr">
        <is>
          <t>LS-092</t>
        </is>
      </c>
      <c r="C37" s="4" t="inlineStr">
        <is>
          <t>NFR-12</t>
        </is>
      </c>
      <c r="D37" s="4" t="inlineStr">
        <is>
          <t>SCR-11a</t>
        </is>
      </c>
      <c r="E37" s="4" t="inlineStr">
        <is>
          <t>en</t>
        </is>
      </c>
      <c r="F37" s="4" t="inlineStr">
        <is>
          <t>Simulation disclosed</t>
        </is>
      </c>
      <c r="G37" s="4" t="inlineStr">
        <is>
          <t>On Player</t>
        </is>
      </c>
      <c r="H37" s="4" t="inlineStr">
        <is>
          <t>Inspect screen</t>
        </is>
      </c>
      <c r="I37" s="4" t="inlineStr">
        <is>
          <t>Simulated narration indicated</t>
        </is>
      </c>
      <c r="J37" s="4" t="inlineStr">
        <is>
          <t>UI</t>
        </is>
      </c>
      <c r="K37" s="4" t="inlineStr">
        <is>
          <t>Yes</t>
        </is>
      </c>
      <c r="L37" s="4" t="inlineStr">
        <is>
          <t>High</t>
        </is>
      </c>
      <c r="M37" s="4" t="inlineStr">
        <is>
          <t>–</t>
        </is>
      </c>
      <c r="N37" s="4" t="inlineStr">
        <is>
          <t>Not run</t>
        </is>
      </c>
      <c r="O37" s="4" t="inlineStr"/>
      <c r="P37" s="4" t="inlineStr"/>
    </row>
    <row r="38" ht="18" customHeight="1">
      <c r="A38" s="17" t="inlineStr">
        <is>
          <t>TC-037</t>
        </is>
      </c>
      <c r="B38" s="4" t="inlineStr">
        <is>
          <t>LS-093</t>
        </is>
      </c>
      <c r="C38" s="4" t="inlineStr">
        <is>
          <t>FR-12</t>
        </is>
      </c>
      <c r="D38" s="4" t="inlineStr">
        <is>
          <t>SCR-11b</t>
        </is>
      </c>
      <c r="E38" s="4" t="inlineStr">
        <is>
          <t>en</t>
        </is>
      </c>
      <c r="F38" s="4" t="inlineStr">
        <is>
          <t>Sleep timer select</t>
        </is>
      </c>
      <c r="G38" s="4" t="inlineStr">
        <is>
          <t>On Player</t>
        </is>
      </c>
      <c r="H38" s="4" t="inlineStr">
        <is>
          <t>Open sheet; choose 15 minutes</t>
        </is>
      </c>
      <c r="I38" s="4" t="inlineStr">
        <is>
          <t>Sheet closes; button reads '15 minutes'</t>
        </is>
      </c>
      <c r="J38" s="4" t="inlineStr">
        <is>
          <t>UI</t>
        </is>
      </c>
      <c r="K38" s="4" t="inlineStr">
        <is>
          <t>Yes</t>
        </is>
      </c>
      <c r="L38" s="4" t="inlineStr">
        <is>
          <t>Medium</t>
        </is>
      </c>
      <c r="M38" s="4" t="inlineStr">
        <is>
          <t>–</t>
        </is>
      </c>
      <c r="N38" s="4" t="inlineStr">
        <is>
          <t>Not run</t>
        </is>
      </c>
      <c r="O38" s="4" t="inlineStr"/>
      <c r="P38" s="4" t="inlineStr"/>
    </row>
    <row r="39" ht="31" customHeight="1">
      <c r="A39" s="17" t="inlineStr">
        <is>
          <t>TC-038</t>
        </is>
      </c>
      <c r="B39" s="4" t="inlineStr">
        <is>
          <t>LS-100</t>
        </is>
      </c>
      <c r="C39" s="4" t="inlineStr">
        <is>
          <t>FR-14</t>
        </is>
      </c>
      <c r="D39" s="4" t="inlineStr">
        <is>
          <t>SCR-12</t>
        </is>
      </c>
      <c r="E39" s="4" t="inlineStr">
        <is>
          <t>en</t>
        </is>
      </c>
      <c r="F39" s="4" t="inlineStr">
        <is>
          <t>Tabs filter</t>
        </is>
      </c>
      <c r="G39" s="4" t="inlineStr">
        <is>
          <t>Library has created, downloaded, favourite</t>
        </is>
      </c>
      <c r="H39" s="4" t="inlineStr">
        <is>
          <t>Switch each tab</t>
        </is>
      </c>
      <c r="I39" s="4" t="inlineStr">
        <is>
          <t>Correct subsets</t>
        </is>
      </c>
      <c r="J39" s="4" t="inlineStr">
        <is>
          <t>UI</t>
        </is>
      </c>
      <c r="K39" s="4" t="inlineStr">
        <is>
          <t>Yes</t>
        </is>
      </c>
      <c r="L39" s="4" t="inlineStr">
        <is>
          <t>High</t>
        </is>
      </c>
      <c r="M39" s="4" t="inlineStr">
        <is>
          <t>Seed</t>
        </is>
      </c>
      <c r="N39" s="4" t="inlineStr">
        <is>
          <t>Not run</t>
        </is>
      </c>
      <c r="O39" s="4" t="inlineStr"/>
      <c r="P39" s="4" t="inlineStr"/>
    </row>
    <row r="40" ht="31" customHeight="1">
      <c r="A40" s="17" t="inlineStr">
        <is>
          <t>TC-039</t>
        </is>
      </c>
      <c r="B40" s="4" t="inlineStr">
        <is>
          <t>LS-100</t>
        </is>
      </c>
      <c r="C40" s="4" t="inlineStr">
        <is>
          <t>FR-14</t>
        </is>
      </c>
      <c r="D40" s="4" t="inlineStr">
        <is>
          <t>SCR-12</t>
        </is>
      </c>
      <c r="E40" s="4" t="inlineStr">
        <is>
          <t>en</t>
        </is>
      </c>
      <c r="F40" s="4" t="inlineStr">
        <is>
          <t>Downloaded empty state</t>
        </is>
      </c>
      <c r="G40" s="4" t="inlineStr">
        <is>
          <t>No downloads</t>
        </is>
      </c>
      <c r="H40" s="4" t="inlineStr">
        <is>
          <t>Open Downloaded tab</t>
        </is>
      </c>
      <c r="I40" s="4" t="inlineStr">
        <is>
          <t>'Ready for offline adventures?' + Discover stories</t>
        </is>
      </c>
      <c r="J40" s="4" t="inlineStr">
        <is>
          <t>UI</t>
        </is>
      </c>
      <c r="K40" s="4" t="inlineStr">
        <is>
          <t>Yes</t>
        </is>
      </c>
      <c r="L40" s="4" t="inlineStr">
        <is>
          <t>Medium</t>
        </is>
      </c>
      <c r="M40" s="4" t="inlineStr">
        <is>
          <t>–</t>
        </is>
      </c>
      <c r="N40" s="4" t="inlineStr">
        <is>
          <t>Not run</t>
        </is>
      </c>
      <c r="O40" s="4" t="inlineStr"/>
      <c r="P40" s="4" t="inlineStr"/>
    </row>
    <row r="41" ht="18" customHeight="1">
      <c r="A41" s="17" t="inlineStr">
        <is>
          <t>TC-040</t>
        </is>
      </c>
      <c r="B41" s="4" t="inlineStr">
        <is>
          <t>LS-101</t>
        </is>
      </c>
      <c r="C41" s="4" t="inlineStr">
        <is>
          <t>FR-15</t>
        </is>
      </c>
      <c r="D41" s="4" t="inlineStr">
        <is>
          <t>SCR-17</t>
        </is>
      </c>
      <c r="E41" s="4" t="inlineStr">
        <is>
          <t>en</t>
        </is>
      </c>
      <c r="F41" s="4" t="inlineStr">
        <is>
          <t>Remove download</t>
        </is>
      </c>
      <c r="G41" s="4" t="inlineStr">
        <is>
          <t>1 download</t>
        </is>
      </c>
      <c r="H41" s="4" t="inlineStr">
        <is>
          <t>Tap ✕</t>
        </is>
      </c>
      <c r="I41" s="4" t="inlineStr">
        <is>
          <t>Row removed; storage total updates; empty state</t>
        </is>
      </c>
      <c r="J41" s="4" t="inlineStr">
        <is>
          <t>UI</t>
        </is>
      </c>
      <c r="K41" s="4" t="inlineStr">
        <is>
          <t>Yes</t>
        </is>
      </c>
      <c r="L41" s="4" t="inlineStr">
        <is>
          <t>Medium</t>
        </is>
      </c>
      <c r="M41" s="4" t="inlineStr">
        <is>
          <t>–</t>
        </is>
      </c>
      <c r="N41" s="4" t="inlineStr">
        <is>
          <t>Not run</t>
        </is>
      </c>
      <c r="O41" s="4" t="inlineStr"/>
      <c r="P41" s="4" t="inlineStr"/>
    </row>
    <row r="42" ht="18" customHeight="1">
      <c r="A42" s="17" t="inlineStr">
        <is>
          <t>TC-041</t>
        </is>
      </c>
      <c r="B42" s="4" t="inlineStr">
        <is>
          <t>LS-110</t>
        </is>
      </c>
      <c r="C42" s="4" t="inlineStr">
        <is>
          <t>FR-16</t>
        </is>
      </c>
      <c r="D42" s="4" t="inlineStr">
        <is>
          <t>SCR-13</t>
        </is>
      </c>
      <c r="E42" s="4" t="inlineStr">
        <is>
          <t>en</t>
        </is>
      </c>
      <c r="F42" s="4" t="inlineStr">
        <is>
          <t>Toggle independent of row</t>
        </is>
      </c>
      <c r="G42" s="4" t="inlineStr">
        <is>
          <t>On Profile</t>
        </is>
      </c>
      <c r="H42" s="4" t="inlineStr">
        <is>
          <t>Tap toggle; tap row text</t>
        </is>
      </c>
      <c r="I42" s="4" t="inlineStr">
        <is>
          <t>Toggle flips without navigating; row navigates</t>
        </is>
      </c>
      <c r="J42" s="4" t="inlineStr">
        <is>
          <t>UI</t>
        </is>
      </c>
      <c r="K42" s="4" t="inlineStr">
        <is>
          <t>Yes</t>
        </is>
      </c>
      <c r="L42" s="4" t="inlineStr">
        <is>
          <t>High</t>
        </is>
      </c>
      <c r="M42" s="4" t="inlineStr">
        <is>
          <t>–</t>
        </is>
      </c>
      <c r="N42" s="4" t="inlineStr">
        <is>
          <t>Not run</t>
        </is>
      </c>
      <c r="O42" s="4" t="inlineStr"/>
      <c r="P42" s="4" t="inlineStr"/>
    </row>
    <row r="43" ht="18" customHeight="1">
      <c r="A43" s="17" t="inlineStr">
        <is>
          <t>TC-042</t>
        </is>
      </c>
      <c r="B43" s="4" t="inlineStr">
        <is>
          <t>LS-063</t>
        </is>
      </c>
      <c r="C43" s="4" t="inlineStr">
        <is>
          <t>FR-03</t>
        </is>
      </c>
      <c r="D43" s="4" t="inlineStr">
        <is>
          <t>SCR-14</t>
        </is>
      </c>
      <c r="E43" s="4" t="inlineStr">
        <is>
          <t>en</t>
        </is>
      </c>
      <c r="F43" s="4" t="inlineStr">
        <is>
          <t>Switch active child</t>
        </is>
      </c>
      <c r="G43" s="4" t="inlineStr">
        <is>
          <t>2 profiles</t>
        </is>
      </c>
      <c r="H43" s="4" t="inlineStr">
        <is>
          <t>Tap Switch on Ananya</t>
        </is>
      </c>
      <c r="I43" s="4" t="inlineStr">
        <is>
          <t>Ananya Active; Home shows 'Stories for Ananya'</t>
        </is>
      </c>
      <c r="J43" s="4" t="inlineStr">
        <is>
          <t>Integration</t>
        </is>
      </c>
      <c r="K43" s="4" t="inlineStr">
        <is>
          <t>Yes</t>
        </is>
      </c>
      <c r="L43" s="4" t="inlineStr">
        <is>
          <t>High</t>
        </is>
      </c>
      <c r="M43" s="4" t="inlineStr">
        <is>
          <t>Aarav, Ananya</t>
        </is>
      </c>
      <c r="N43" s="4" t="inlineStr">
        <is>
          <t>Not run</t>
        </is>
      </c>
      <c r="O43" s="4" t="inlineStr"/>
      <c r="P43" s="4" t="inlineStr"/>
    </row>
    <row r="44" ht="18" customHeight="1">
      <c r="A44" s="17" t="inlineStr">
        <is>
          <t>TC-043</t>
        </is>
      </c>
      <c r="B44" s="4" t="inlineStr">
        <is>
          <t>LS-111</t>
        </is>
      </c>
      <c r="C44" s="4" t="inlineStr">
        <is>
          <t>FR-17</t>
        </is>
      </c>
      <c r="D44" s="4" t="inlineStr">
        <is>
          <t>SCR-16</t>
        </is>
      </c>
      <c r="E44" s="4" t="inlineStr">
        <is>
          <t>en</t>
        </is>
      </c>
      <c r="F44" s="4" t="inlineStr">
        <is>
          <t>Disable reminder</t>
        </is>
      </c>
      <c r="G44" s="4" t="inlineStr">
        <is>
          <t>On Reminder</t>
        </is>
      </c>
      <c r="H44" s="4" t="inlineStr">
        <is>
          <t>Turn toggle off</t>
        </is>
      </c>
      <c r="I44" s="4" t="inlineStr">
        <is>
          <t>Time and days disabled</t>
        </is>
      </c>
      <c r="J44" s="4" t="inlineStr">
        <is>
          <t>UI</t>
        </is>
      </c>
      <c r="K44" s="4" t="inlineStr">
        <is>
          <t>Yes</t>
        </is>
      </c>
      <c r="L44" s="4" t="inlineStr">
        <is>
          <t>Low</t>
        </is>
      </c>
      <c r="M44" s="4" t="inlineStr">
        <is>
          <t>–</t>
        </is>
      </c>
      <c r="N44" s="4" t="inlineStr">
        <is>
          <t>Not run</t>
        </is>
      </c>
      <c r="O44" s="4" t="inlineStr"/>
      <c r="P44" s="4" t="inlineStr"/>
    </row>
    <row r="45" ht="18" customHeight="1">
      <c r="A45" s="17" t="inlineStr">
        <is>
          <t>TC-044</t>
        </is>
      </c>
      <c r="B45" s="4" t="inlineStr">
        <is>
          <t>LS-111</t>
        </is>
      </c>
      <c r="C45" s="4" t="inlineStr">
        <is>
          <t>FR-17</t>
        </is>
      </c>
      <c r="D45" s="4" t="inlineStr">
        <is>
          <t>SCR-16</t>
        </is>
      </c>
      <c r="E45" s="4" t="inlineStr">
        <is>
          <t>kn</t>
        </is>
      </c>
      <c r="F45" s="4" t="inlineStr">
        <is>
          <t>Saved toast time format</t>
        </is>
      </c>
      <c r="G45" s="4" t="inlineStr">
        <is>
          <t>ಕನ್ನಡ</t>
        </is>
      </c>
      <c r="H45" s="4" t="inlineStr">
        <is>
          <t>Save reminder 20:30</t>
        </is>
      </c>
      <c r="I45" s="4" t="inlineStr">
        <is>
          <t>Toast shows locale-formatted time in Kannada</t>
        </is>
      </c>
      <c r="J45" s="4" t="inlineStr">
        <is>
          <t>Localization</t>
        </is>
      </c>
      <c r="K45" s="4" t="inlineStr">
        <is>
          <t>Yes</t>
        </is>
      </c>
      <c r="L45" s="4" t="inlineStr">
        <is>
          <t>Low</t>
        </is>
      </c>
      <c r="M45" s="4" t="inlineStr">
        <is>
          <t>–</t>
        </is>
      </c>
      <c r="N45" s="4" t="inlineStr">
        <is>
          <t>Not run</t>
        </is>
      </c>
      <c r="O45" s="4" t="inlineStr"/>
      <c r="P45" s="4" t="inlineStr"/>
    </row>
    <row r="46" ht="18" customHeight="1">
      <c r="A46" s="17" t="inlineStr">
        <is>
          <t>TC-045</t>
        </is>
      </c>
      <c r="B46" s="4" t="inlineStr">
        <is>
          <t>LS-112</t>
        </is>
      </c>
      <c r="C46" s="4" t="inlineStr">
        <is>
          <t>FR-18</t>
        </is>
      </c>
      <c r="D46" s="4" t="inlineStr">
        <is>
          <t>SCR-18</t>
        </is>
      </c>
      <c r="E46" s="4" t="inlineStr">
        <is>
          <t>en</t>
        </is>
      </c>
      <c r="F46" s="4" t="inlineStr">
        <is>
          <t>Mark all read</t>
        </is>
      </c>
      <c r="G46" s="4" t="inlineStr">
        <is>
          <t>Unread exists</t>
        </is>
      </c>
      <c r="H46" s="4" t="inlineStr">
        <is>
          <t>Tap Mark all read</t>
        </is>
      </c>
      <c r="I46" s="4" t="inlineStr">
        <is>
          <t>Unread dots removed</t>
        </is>
      </c>
      <c r="J46" s="4" t="inlineStr">
        <is>
          <t>UI</t>
        </is>
      </c>
      <c r="K46" s="4" t="inlineStr">
        <is>
          <t>Yes</t>
        </is>
      </c>
      <c r="L46" s="4" t="inlineStr">
        <is>
          <t>Low</t>
        </is>
      </c>
      <c r="M46" s="4" t="inlineStr">
        <is>
          <t>–</t>
        </is>
      </c>
      <c r="N46" s="4" t="inlineStr">
        <is>
          <t>Not run</t>
        </is>
      </c>
      <c r="O46" s="4" t="inlineStr"/>
      <c r="P46" s="4" t="inlineStr"/>
    </row>
    <row r="47" ht="18" customHeight="1">
      <c r="A47" s="17" t="inlineStr">
        <is>
          <t>TC-046</t>
        </is>
      </c>
      <c r="B47" s="4" t="inlineStr">
        <is>
          <t>LS-113</t>
        </is>
      </c>
      <c r="C47" s="4" t="inlineStr">
        <is>
          <t>FR-19</t>
        </is>
      </c>
      <c r="D47" s="4" t="inlineStr">
        <is>
          <t>SCR-15</t>
        </is>
      </c>
      <c r="E47" s="4" t="inlineStr">
        <is>
          <t>en</t>
        </is>
      </c>
      <c r="F47" s="4" t="inlineStr">
        <is>
          <t>Demo plan confirmation</t>
        </is>
      </c>
      <c r="G47" s="4" t="inlineStr">
        <is>
          <t>Flag on</t>
        </is>
      </c>
      <c r="H47" s="4" t="inlineStr">
        <is>
          <t>Select Monthly; tap CTA; Done</t>
        </is>
      </c>
      <c r="I47" s="4" t="inlineStr">
        <is>
          <t>Dialog says no payment; returns Home</t>
        </is>
      </c>
      <c r="J47" s="4" t="inlineStr">
        <is>
          <t>UI</t>
        </is>
      </c>
      <c r="K47" s="4" t="inlineStr">
        <is>
          <t>Yes</t>
        </is>
      </c>
      <c r="L47" s="4" t="inlineStr">
        <is>
          <t>Low</t>
        </is>
      </c>
      <c r="M47" s="4" t="inlineStr">
        <is>
          <t>–</t>
        </is>
      </c>
      <c r="N47" s="4" t="inlineStr">
        <is>
          <t>Not run</t>
        </is>
      </c>
      <c r="O47" s="4" t="inlineStr"/>
      <c r="P47" s="4" t="inlineStr"/>
    </row>
    <row r="48" ht="18" customHeight="1">
      <c r="A48" s="17" t="inlineStr">
        <is>
          <t>TC-047</t>
        </is>
      </c>
      <c r="B48" s="4" t="inlineStr">
        <is>
          <t>LS-113</t>
        </is>
      </c>
      <c r="C48" s="4" t="inlineStr">
        <is>
          <t>NFR-07</t>
        </is>
      </c>
      <c r="D48" s="4" t="inlineStr">
        <is>
          <t>SCR-15</t>
        </is>
      </c>
      <c r="E48" s="4" t="inlineStr">
        <is>
          <t>en</t>
        </is>
      </c>
      <c r="F48" s="4" t="inlineStr">
        <is>
          <t>No billing in build</t>
        </is>
      </c>
      <c r="G48" s="4" t="inlineStr">
        <is>
          <t>–</t>
        </is>
      </c>
      <c r="H48" s="4" t="inlineStr">
        <is>
          <t>Inspect merged manifest &amp; deps</t>
        </is>
      </c>
      <c r="I48" s="4" t="inlineStr">
        <is>
          <t>No billing permission/library</t>
        </is>
      </c>
      <c r="J48" s="4" t="inlineStr">
        <is>
          <t>Security</t>
        </is>
      </c>
      <c r="K48" s="4" t="inlineStr">
        <is>
          <t>Yes</t>
        </is>
      </c>
      <c r="L48" s="4" t="inlineStr">
        <is>
          <t>High</t>
        </is>
      </c>
      <c r="M48" s="4" t="inlineStr">
        <is>
          <t>–</t>
        </is>
      </c>
      <c r="N48" s="4" t="inlineStr">
        <is>
          <t>Not run</t>
        </is>
      </c>
      <c r="O48" s="4" t="inlineStr"/>
      <c r="P48" s="4" t="inlineStr"/>
    </row>
    <row r="49" ht="31" customHeight="1">
      <c r="A49" s="17" t="inlineStr">
        <is>
          <t>TC-048</t>
        </is>
      </c>
      <c r="B49" s="4" t="inlineStr">
        <is>
          <t>LS-040</t>
        </is>
      </c>
      <c r="C49" s="4" t="inlineStr">
        <is>
          <t>FR-20</t>
        </is>
      </c>
      <c r="D49" s="4" t="inlineStr">
        <is>
          <t>All</t>
        </is>
      </c>
      <c r="E49" s="4" t="inlineStr">
        <is>
          <t>en→kn</t>
        </is>
      </c>
      <c r="F49" s="4" t="inlineStr">
        <is>
          <t>Change language mid-journey</t>
        </is>
      </c>
      <c r="G49" s="4" t="inlineStr">
        <is>
          <t>On Reader page 2</t>
        </is>
      </c>
      <c r="H49" s="4" t="inlineStr">
        <is>
          <t>Change app language to ಕನ್ನಡ</t>
        </is>
      </c>
      <c r="I49" s="4" t="inlineStr">
        <is>
          <t>Same story/page retained; UI in Kannada; no crash</t>
        </is>
      </c>
      <c r="J49" s="4" t="inlineStr">
        <is>
          <t>Integration</t>
        </is>
      </c>
      <c r="K49" s="4" t="inlineStr">
        <is>
          <t>Yes</t>
        </is>
      </c>
      <c r="L49" s="4" t="inlineStr">
        <is>
          <t>Highest</t>
        </is>
      </c>
      <c r="M49" s="4" t="inlineStr">
        <is>
          <t>–</t>
        </is>
      </c>
      <c r="N49" s="4" t="inlineStr">
        <is>
          <t>Not run</t>
        </is>
      </c>
      <c r="O49" s="4" t="inlineStr"/>
      <c r="P49" s="4" t="inlineStr"/>
    </row>
    <row r="50" ht="31" customHeight="1">
      <c r="A50" s="17" t="inlineStr">
        <is>
          <t>TC-049</t>
        </is>
      </c>
      <c r="B50" s="4" t="inlineStr">
        <is>
          <t>LS-040</t>
        </is>
      </c>
      <c r="C50" s="4" t="inlineStr">
        <is>
          <t>FR-20</t>
        </is>
      </c>
      <c r="D50" s="4" t="inlineStr">
        <is>
          <t>All</t>
        </is>
      </c>
      <c r="E50" s="4" t="inlineStr">
        <is>
          <t>kn</t>
        </is>
      </c>
      <c r="F50" s="4" t="inlineStr">
        <is>
          <t>Fallback when KN missing</t>
        </is>
      </c>
      <c r="G50" s="4" t="inlineStr">
        <is>
          <t>Test build with one KN key removed</t>
        </is>
      </c>
      <c r="H50" s="4" t="inlineStr">
        <is>
          <t>Open affected screen</t>
        </is>
      </c>
      <c r="I50" s="4" t="inlineStr">
        <is>
          <t>English shown, no raw key/crash (CI also fails parity)</t>
        </is>
      </c>
      <c r="J50" s="4" t="inlineStr">
        <is>
          <t>Localization</t>
        </is>
      </c>
      <c r="K50" s="4" t="inlineStr">
        <is>
          <t>Yes</t>
        </is>
      </c>
      <c r="L50" s="4" t="inlineStr">
        <is>
          <t>High</t>
        </is>
      </c>
      <c r="M50" s="4" t="inlineStr">
        <is>
          <t>–</t>
        </is>
      </c>
      <c r="N50" s="4" t="inlineStr">
        <is>
          <t>Not run</t>
        </is>
      </c>
      <c r="O50" s="4" t="inlineStr"/>
      <c r="P50" s="4" t="inlineStr"/>
    </row>
    <row r="51" ht="18" customHeight="1">
      <c r="A51" s="17" t="inlineStr">
        <is>
          <t>TC-050</t>
        </is>
      </c>
      <c r="B51" s="4" t="inlineStr">
        <is>
          <t>LS-041</t>
        </is>
      </c>
      <c r="C51" s="4" t="inlineStr">
        <is>
          <t>NFR-02</t>
        </is>
      </c>
      <c r="D51" s="4" t="inlineStr">
        <is>
          <t>–</t>
        </is>
      </c>
      <c r="E51" s="4" t="inlineStr">
        <is>
          <t>–</t>
        </is>
      </c>
      <c r="F51" s="4" t="inlineStr">
        <is>
          <t>Translation parity CI</t>
        </is>
      </c>
      <c r="G51" s="4" t="inlineStr">
        <is>
          <t>–</t>
        </is>
      </c>
      <c r="H51" s="4" t="inlineStr">
        <is>
          <t>Remove a KN key; run check</t>
        </is>
      </c>
      <c r="I51" s="4" t="inlineStr">
        <is>
          <t>Build fails with key name</t>
        </is>
      </c>
      <c r="J51" s="4" t="inlineStr">
        <is>
          <t>Build/CI</t>
        </is>
      </c>
      <c r="K51" s="4" t="inlineStr">
        <is>
          <t>Yes</t>
        </is>
      </c>
      <c r="L51" s="4" t="inlineStr">
        <is>
          <t>High</t>
        </is>
      </c>
      <c r="M51" s="4" t="inlineStr">
        <is>
          <t>–</t>
        </is>
      </c>
      <c r="N51" s="4" t="inlineStr">
        <is>
          <t>Not run</t>
        </is>
      </c>
      <c r="O51" s="4" t="inlineStr"/>
      <c r="P51" s="4" t="inlineStr"/>
    </row>
    <row r="52" ht="18" customHeight="1">
      <c r="A52" s="17" t="inlineStr">
        <is>
          <t>TC-051</t>
        </is>
      </c>
      <c r="B52" s="4" t="inlineStr">
        <is>
          <t>LS-034</t>
        </is>
      </c>
      <c r="C52" s="4" t="inlineStr">
        <is>
          <t>NFR-01</t>
        </is>
      </c>
      <c r="D52" s="4" t="inlineStr">
        <is>
          <t>–</t>
        </is>
      </c>
      <c r="E52" s="4" t="inlineStr">
        <is>
          <t>–</t>
        </is>
      </c>
      <c r="F52" s="4" t="inlineStr">
        <is>
          <t>Hardcoded text blocked</t>
        </is>
      </c>
      <c r="G52" s="4" t="inlineStr">
        <is>
          <t>–</t>
        </is>
      </c>
      <c r="H52" s="4" t="inlineStr">
        <is>
          <t>Add Text("Hello") in feature</t>
        </is>
      </c>
      <c r="I52" s="4" t="inlineStr">
        <is>
          <t>Lint/detekt fails</t>
        </is>
      </c>
      <c r="J52" s="4" t="inlineStr">
        <is>
          <t>Build/CI</t>
        </is>
      </c>
      <c r="K52" s="4" t="inlineStr">
        <is>
          <t>Yes</t>
        </is>
      </c>
      <c r="L52" s="4" t="inlineStr">
        <is>
          <t>High</t>
        </is>
      </c>
      <c r="M52" s="4" t="inlineStr">
        <is>
          <t>–</t>
        </is>
      </c>
      <c r="N52" s="4" t="inlineStr">
        <is>
          <t>Not run</t>
        </is>
      </c>
      <c r="O52" s="4" t="inlineStr"/>
      <c r="P52" s="4" t="inlineStr"/>
    </row>
    <row r="53" ht="18" customHeight="1">
      <c r="A53" s="17" t="inlineStr">
        <is>
          <t>TC-052</t>
        </is>
      </c>
      <c r="B53" s="4" t="inlineStr">
        <is>
          <t>LS-042</t>
        </is>
      </c>
      <c r="C53" s="4" t="inlineStr">
        <is>
          <t>NFR-03</t>
        </is>
      </c>
      <c r="D53" s="4" t="inlineStr">
        <is>
          <t>Key screens</t>
        </is>
      </c>
      <c r="E53" s="4" t="inlineStr">
        <is>
          <t>en-XA</t>
        </is>
      </c>
      <c r="F53" s="4" t="inlineStr">
        <is>
          <t>Pseudo-locale expansion</t>
        </is>
      </c>
      <c r="G53" s="4" t="inlineStr">
        <is>
          <t>Debug build</t>
        </is>
      </c>
      <c r="H53" s="4" t="inlineStr">
        <is>
          <t>Run screenshots in en-XA</t>
        </is>
      </c>
      <c r="I53" s="4" t="inlineStr">
        <is>
          <t>No clipping/overlap</t>
        </is>
      </c>
      <c r="J53" s="4" t="inlineStr">
        <is>
          <t>Screenshot</t>
        </is>
      </c>
      <c r="K53" s="4" t="inlineStr">
        <is>
          <t>Yes</t>
        </is>
      </c>
      <c r="L53" s="4" t="inlineStr">
        <is>
          <t>Medium</t>
        </is>
      </c>
      <c r="M53" s="4" t="inlineStr">
        <is>
          <t>–</t>
        </is>
      </c>
      <c r="N53" s="4" t="inlineStr">
        <is>
          <t>Not run</t>
        </is>
      </c>
      <c r="O53" s="4" t="inlineStr"/>
      <c r="P53" s="4" t="inlineStr"/>
    </row>
    <row r="54" ht="18" customHeight="1">
      <c r="A54" s="17" t="inlineStr">
        <is>
          <t>TC-053</t>
        </is>
      </c>
      <c r="B54" s="4" t="inlineStr">
        <is>
          <t>LS-123</t>
        </is>
      </c>
      <c r="C54" s="4" t="inlineStr">
        <is>
          <t>NFR-04</t>
        </is>
      </c>
      <c r="D54" s="4" t="inlineStr">
        <is>
          <t>All</t>
        </is>
      </c>
      <c r="E54" s="4" t="inlineStr">
        <is>
          <t>en</t>
        </is>
      </c>
      <c r="F54" s="4" t="inlineStr">
        <is>
          <t>Touch targets</t>
        </is>
      </c>
      <c r="G54" s="4" t="inlineStr">
        <is>
          <t>–</t>
        </is>
      </c>
      <c r="H54" s="4" t="inlineStr">
        <is>
          <t>Accessibility Scanner on each screen</t>
        </is>
      </c>
      <c r="I54" s="4" t="inlineStr">
        <is>
          <t>All targets ≥48dp</t>
        </is>
      </c>
      <c r="J54" s="4" t="inlineStr">
        <is>
          <t>Accessibility</t>
        </is>
      </c>
      <c r="K54" s="4" t="inlineStr">
        <is>
          <t>Partly</t>
        </is>
      </c>
      <c r="L54" s="4" t="inlineStr">
        <is>
          <t>High</t>
        </is>
      </c>
      <c r="M54" s="4" t="inlineStr">
        <is>
          <t>–</t>
        </is>
      </c>
      <c r="N54" s="4" t="inlineStr">
        <is>
          <t>Not run</t>
        </is>
      </c>
      <c r="O54" s="4" t="inlineStr"/>
      <c r="P54" s="4" t="inlineStr"/>
    </row>
    <row r="55" ht="31" customHeight="1">
      <c r="A55" s="17" t="inlineStr">
        <is>
          <t>TC-054</t>
        </is>
      </c>
      <c r="B55" s="4" t="inlineStr">
        <is>
          <t>LS-123</t>
        </is>
      </c>
      <c r="C55" s="4" t="inlineStr">
        <is>
          <t>NFR-04</t>
        </is>
      </c>
      <c r="D55" s="4" t="inlineStr">
        <is>
          <t>All</t>
        </is>
      </c>
      <c r="E55" s="4" t="inlineStr">
        <is>
          <t>en/kn</t>
        </is>
      </c>
      <c r="F55" s="4" t="inlineStr">
        <is>
          <t>TalkBack labels</t>
        </is>
      </c>
      <c r="G55" s="4" t="inlineStr">
        <is>
          <t>TalkBack on</t>
        </is>
      </c>
      <c r="H55" s="4" t="inlineStr">
        <is>
          <t>Traverse each screen</t>
        </is>
      </c>
      <c r="I55" s="4" t="inlineStr">
        <is>
          <t>All controls labelled in current language; logical order</t>
        </is>
      </c>
      <c r="J55" s="4" t="inlineStr">
        <is>
          <t>Accessibility</t>
        </is>
      </c>
      <c r="K55" s="4" t="inlineStr">
        <is>
          <t>No</t>
        </is>
      </c>
      <c r="L55" s="4" t="inlineStr">
        <is>
          <t>High</t>
        </is>
      </c>
      <c r="M55" s="4" t="inlineStr">
        <is>
          <t>–</t>
        </is>
      </c>
      <c r="N55" s="4" t="inlineStr">
        <is>
          <t>Not run</t>
        </is>
      </c>
      <c r="O55" s="4" t="inlineStr"/>
      <c r="P55" s="4" t="inlineStr"/>
    </row>
    <row r="56" ht="31" customHeight="1">
      <c r="A56" s="17" t="inlineStr">
        <is>
          <t>TC-055</t>
        </is>
      </c>
      <c r="B56" s="4" t="inlineStr">
        <is>
          <t>LS-012</t>
        </is>
      </c>
      <c r="C56" s="4" t="inlineStr">
        <is>
          <t>NFR-04</t>
        </is>
      </c>
      <c r="D56" s="4" t="inlineStr">
        <is>
          <t>SCR-01, SCR-08, SCR-11a</t>
        </is>
      </c>
      <c r="E56" s="4" t="inlineStr">
        <is>
          <t>en</t>
        </is>
      </c>
      <c r="F56" s="4" t="inlineStr">
        <is>
          <t>Reduced motion</t>
        </is>
      </c>
      <c r="G56" s="4" t="inlineStr">
        <is>
          <t>Remove animations ON</t>
        </is>
      </c>
      <c r="H56" s="4" t="inlineStr">
        <is>
          <t>Open animated screens</t>
        </is>
      </c>
      <c r="I56" s="4" t="inlineStr">
        <is>
          <t>Twinkle animations disabled</t>
        </is>
      </c>
      <c r="J56" s="4" t="inlineStr">
        <is>
          <t>Accessibility</t>
        </is>
      </c>
      <c r="K56" s="4" t="inlineStr">
        <is>
          <t>Yes</t>
        </is>
      </c>
      <c r="L56" s="4" t="inlineStr">
        <is>
          <t>Medium</t>
        </is>
      </c>
      <c r="M56" s="4" t="inlineStr">
        <is>
          <t>–</t>
        </is>
      </c>
      <c r="N56" s="4" t="inlineStr">
        <is>
          <t>Not run</t>
        </is>
      </c>
      <c r="O56" s="4" t="inlineStr"/>
      <c r="P56" s="4" t="inlineStr"/>
    </row>
    <row r="57" ht="31" customHeight="1">
      <c r="A57" s="17" t="inlineStr">
        <is>
          <t>TC-056</t>
        </is>
      </c>
      <c r="B57" s="4" t="inlineStr">
        <is>
          <t>LS-030</t>
        </is>
      </c>
      <c r="C57" s="4" t="inlineStr">
        <is>
          <t>NFR-09</t>
        </is>
      </c>
      <c r="D57" s="4" t="inlineStr">
        <is>
          <t>–</t>
        </is>
      </c>
      <c r="E57" s="4" t="inlineStr">
        <is>
          <t>–</t>
        </is>
      </c>
      <c r="F57" s="4" t="inlineStr">
        <is>
          <t>Build on Windows &amp; macOS</t>
        </is>
      </c>
      <c r="G57" s="4" t="inlineStr">
        <is>
          <t>Clean clone</t>
        </is>
      </c>
      <c r="H57" s="4" t="inlineStr">
        <is>
          <t>gradlew.bat assembleDebug / ./gradlew assembleDebug</t>
        </is>
      </c>
      <c r="I57" s="4" t="inlineStr">
        <is>
          <t>Both succeed; no git diffs</t>
        </is>
      </c>
      <c r="J57" s="4" t="inlineStr">
        <is>
          <t>Build/CI</t>
        </is>
      </c>
      <c r="K57" s="4" t="inlineStr">
        <is>
          <t>Partly</t>
        </is>
      </c>
      <c r="L57" s="4" t="inlineStr">
        <is>
          <t>High</t>
        </is>
      </c>
      <c r="M57" s="4" t="inlineStr">
        <is>
          <t>–</t>
        </is>
      </c>
      <c r="N57" s="4" t="inlineStr">
        <is>
          <t>Not run</t>
        </is>
      </c>
      <c r="O57" s="4" t="inlineStr"/>
      <c r="P57" s="4" t="inlineStr"/>
    </row>
    <row r="58" ht="18" customHeight="1">
      <c r="A58" s="17" t="inlineStr">
        <is>
          <t>TC-057</t>
        </is>
      </c>
      <c r="B58" s="4" t="inlineStr">
        <is>
          <t>LS-051</t>
        </is>
      </c>
      <c r="C58" s="4" t="inlineStr">
        <is>
          <t>FR-25</t>
        </is>
      </c>
      <c r="D58" s="4" t="inlineStr">
        <is>
          <t>SCR-19</t>
        </is>
      </c>
      <c r="E58" s="4" t="inlineStr">
        <is>
          <t>en</t>
        </is>
      </c>
      <c r="F58" s="4" t="inlineStr">
        <is>
          <t>First-run routing</t>
        </is>
      </c>
      <c r="G58" s="4" t="inlineStr">
        <is>
          <t>Fresh install vs returning</t>
        </is>
      </c>
      <c r="H58" s="4" t="inlineStr">
        <is>
          <t>Launch twice</t>
        </is>
      </c>
      <c r="I58" s="4" t="inlineStr">
        <is>
          <t>1st → Onboarding; 2nd → Home</t>
        </is>
      </c>
      <c r="J58" s="4" t="inlineStr">
        <is>
          <t>UI</t>
        </is>
      </c>
      <c r="K58" s="4" t="inlineStr">
        <is>
          <t>Yes</t>
        </is>
      </c>
      <c r="L58" s="4" t="inlineStr">
        <is>
          <t>High</t>
        </is>
      </c>
      <c r="M58" s="4" t="inlineStr">
        <is>
          <t>–</t>
        </is>
      </c>
      <c r="N58" s="4" t="inlineStr">
        <is>
          <t>Not run</t>
        </is>
      </c>
      <c r="O58" s="4" t="inlineStr"/>
      <c r="P58" s="4" t="inlineStr"/>
    </row>
    <row r="59" ht="18" customHeight="1">
      <c r="A59" s="17" t="inlineStr">
        <is>
          <t>TC-058</t>
        </is>
      </c>
      <c r="B59" s="4" t="inlineStr">
        <is>
          <t>LS-062</t>
        </is>
      </c>
      <c r="C59" s="4" t="inlineStr">
        <is>
          <t>NFR-11</t>
        </is>
      </c>
      <c r="D59" s="4" t="inlineStr">
        <is>
          <t>SCR-03</t>
        </is>
      </c>
      <c r="E59" s="4" t="inlineStr">
        <is>
          <t>en</t>
        </is>
      </c>
      <c r="F59" s="4" t="inlineStr">
        <is>
          <t>Process death</t>
        </is>
      </c>
      <c r="G59" s="4" t="inlineStr">
        <is>
          <t>Profile set</t>
        </is>
      </c>
      <c r="H59" s="4" t="inlineStr">
        <is>
          <t>Kill process from background; reopen</t>
        </is>
      </c>
      <c r="I59" s="4" t="inlineStr">
        <is>
          <t>State restored</t>
        </is>
      </c>
      <c r="J59" s="4" t="inlineStr">
        <is>
          <t>Integration</t>
        </is>
      </c>
      <c r="K59" s="4" t="inlineStr">
        <is>
          <t>Yes</t>
        </is>
      </c>
      <c r="L59" s="4" t="inlineStr">
        <is>
          <t>Medium</t>
        </is>
      </c>
      <c r="M59" s="4" t="inlineStr">
        <is>
          <t>–</t>
        </is>
      </c>
      <c r="N59" s="4" t="inlineStr">
        <is>
          <t>Not run</t>
        </is>
      </c>
      <c r="O59" s="4" t="inlineStr"/>
      <c r="P59" s="4" t="inlineStr"/>
    </row>
    <row r="60" ht="18" customHeight="1">
      <c r="A60" s="17" t="inlineStr">
        <is>
          <t>TC-059</t>
        </is>
      </c>
      <c r="B60" s="4" t="inlineStr">
        <is>
          <t>LS-041</t>
        </is>
      </c>
      <c r="C60" s="4" t="inlineStr">
        <is>
          <t>NFR-03</t>
        </is>
      </c>
      <c r="D60" s="4" t="inlineStr">
        <is>
          <t>–</t>
        </is>
      </c>
      <c r="E60" s="4" t="inlineStr">
        <is>
          <t>all</t>
        </is>
      </c>
      <c r="F60" s="4" t="inlineStr">
        <is>
          <t>Registry matches locales_config.xml</t>
        </is>
      </c>
      <c r="G60" s="4" t="inlineStr">
        <is>
          <t>Registry and locales_config.xml exist</t>
        </is>
      </c>
      <c r="H60" s="4" t="inlineStr">
        <is>
          <t>Run unit test comparing SupportedLanguage entries with locales_config.xml</t>
        </is>
      </c>
      <c r="I60" s="4" t="inlineStr">
        <is>
          <t>Same locale set; test fails on mismatch</t>
        </is>
      </c>
      <c r="J60" s="4" t="inlineStr">
        <is>
          <t>Localization</t>
        </is>
      </c>
      <c r="K60" s="4" t="inlineStr">
        <is>
          <t>Yes</t>
        </is>
      </c>
      <c r="L60" s="4" t="inlineStr">
        <is>
          <t>High</t>
        </is>
      </c>
      <c r="M60" s="4" t="inlineStr">
        <is>
          <t>Registry + XML</t>
        </is>
      </c>
      <c r="N60" s="4" t="inlineStr">
        <is>
          <t>Not run</t>
        </is>
      </c>
      <c r="O60" s="4" t="n"/>
      <c r="P60" s="4" t="n"/>
    </row>
    <row r="61" ht="18" customHeight="1">
      <c r="A61" s="17" t="inlineStr">
        <is>
          <t>TC-060</t>
        </is>
      </c>
      <c r="B61" s="4" t="inlineStr">
        <is>
          <t>LS-036</t>
        </is>
      </c>
      <c r="C61" s="4" t="inlineStr">
        <is>
          <t>FR-21</t>
        </is>
      </c>
      <c r="D61" s="4" t="inlineStr">
        <is>
          <t>SCR-04a, SCR-06</t>
        </is>
      </c>
      <c r="E61" s="4" t="inlineStr">
        <is>
          <t>en, kn</t>
        </is>
      </c>
      <c r="F61" s="4" t="inlineStr">
        <is>
          <t>Mock content parity per story ID</t>
        </is>
      </c>
      <c r="G61" s="4" t="inlineStr">
        <is>
          <t>stories_en.json and stories_kn.json present</t>
        </is>
      </c>
      <c r="H61" s="4" t="inlineStr">
        <is>
          <t>Run parity check over all story IDs</t>
        </is>
      </c>
      <c r="I61" s="4" t="inlineStr">
        <is>
          <t>Every ID exists in both files or is listed as expected English fallback (story_lanterns_jaipur)</t>
        </is>
      </c>
      <c r="J61" s="4" t="inlineStr">
        <is>
          <t>Localization</t>
        </is>
      </c>
      <c r="K61" s="4" t="inlineStr">
        <is>
          <t>Yes</t>
        </is>
      </c>
      <c r="L61" s="4" t="inlineStr">
        <is>
          <t>High</t>
        </is>
      </c>
      <c r="M61" s="4" t="inlineStr">
        <is>
          <t>docs/testing/test-data.md seed set</t>
        </is>
      </c>
      <c r="N61" s="4" t="inlineStr">
        <is>
          <t>Not run</t>
        </is>
      </c>
      <c r="O61" s="4" t="n"/>
      <c r="P61" s="4" t="n"/>
    </row>
    <row r="62" ht="18" customHeight="1">
      <c r="A62" s="17" t="inlineStr">
        <is>
          <t>TC-061</t>
        </is>
      </c>
      <c r="B62" s="4" t="inlineStr">
        <is>
          <t>LS-080</t>
        </is>
      </c>
      <c r="C62" s="4" t="inlineStr">
        <is>
          <t>FR-08</t>
        </is>
      </c>
      <c r="D62" s="4" t="inlineStr">
        <is>
          <t>SCR-07</t>
        </is>
      </c>
      <c r="E62" s="4" t="inlineStr">
        <is>
          <t>kn</t>
        </is>
      </c>
      <c r="F62" s="4" t="inlineStr">
        <is>
          <t>Kannada keyboard input in Create</t>
        </is>
      </c>
      <c r="G62" s="4" t="inlineStr">
        <is>
          <t>App in Kannada, Kannada IME installed</t>
        </is>
      </c>
      <c r="H62" s="4" t="inlineStr">
        <is>
          <t>Type a Kannada sentence in What happened today; submit</t>
        </is>
      </c>
      <c r="I62" s="4" t="inlineStr">
        <is>
          <t>Text accepted, counter counts characters correctly, no clipping</t>
        </is>
      </c>
      <c r="J62" s="4" t="inlineStr">
        <is>
          <t>UI</t>
        </is>
      </c>
      <c r="K62" s="4" t="inlineStr">
        <is>
          <t>Partly</t>
        </is>
      </c>
      <c r="L62" s="4" t="inlineStr">
        <is>
          <t>Medium</t>
        </is>
      </c>
      <c r="M62" s="4" t="inlineStr">
        <is>
          <t>Kannada sample sentence</t>
        </is>
      </c>
      <c r="N62" s="4" t="inlineStr">
        <is>
          <t>Not run</t>
        </is>
      </c>
      <c r="O62" s="4" t="n"/>
      <c r="P62" s="4" t="n"/>
    </row>
  </sheetData>
  <autoFilter ref="A1:P62"/>
  <conditionalFormatting sqref="N2:N109">
    <cfRule type="cellIs" priority="1" operator="equal" dxfId="9">
      <formula>"Pass"</formula>
    </cfRule>
    <cfRule type="cellIs" priority="2" operator="equal" dxfId="8">
      <formula>"Fail"</formula>
    </cfRule>
    <cfRule type="cellIs" priority="3" operator="equal" dxfId="10">
      <formula>"Blocked"</formula>
    </cfRule>
  </conditionalFormatting>
  <dataValidations count="1">
    <dataValidation sqref="N2:N109" showDropDown="0" showInputMessage="0" showErrorMessage="0" allowBlank="1" type="list">
      <formula1>=Lists!$J$2:$J$5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AE3FF"/>
    <outlinePr summaryBelow="1" summaryRight="1"/>
    <pageSetUpPr/>
  </sheetPr>
  <dimension ref="A1:M94"/>
  <sheetViews>
    <sheetView zoomScale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24" customWidth="1" min="3" max="3"/>
    <col width="12" customWidth="1" min="4" max="4"/>
    <col width="26" customWidth="1" min="5" max="5"/>
    <col width="11" customWidth="1" min="6" max="6"/>
    <col width="30" customWidth="1" min="7" max="7"/>
    <col width="22" customWidth="1" min="8" max="8"/>
    <col width="9" customWidth="1" min="9" max="9"/>
    <col width="22" customWidth="1" min="10" max="10"/>
    <col width="34" customWidth="1" min="11" max="11"/>
    <col width="32" customWidth="1" min="12" max="12"/>
    <col width="32" customWidth="1" min="13" max="13"/>
  </cols>
  <sheetData>
    <row r="1" ht="32" customHeight="1">
      <c r="A1" s="20" t="inlineStr">
        <is>
          <t>Ticket</t>
        </is>
      </c>
      <c r="B1" s="20" t="inlineStr">
        <is>
          <t>Summary</t>
        </is>
      </c>
      <c r="C1" s="20" t="inlineStr">
        <is>
          <t>Dependencies</t>
        </is>
      </c>
      <c r="D1" s="20" t="inlineStr">
        <is>
          <t>Critical Predecessor</t>
        </is>
      </c>
      <c r="E1" s="20" t="inlineStr">
        <is>
          <t>Blocks</t>
        </is>
      </c>
      <c r="F1" s="20" t="inlineStr">
        <is>
          <t>Parallelizable</t>
        </is>
      </c>
      <c r="G1" s="20" t="inlineStr">
        <is>
          <t>Shared Files</t>
        </is>
      </c>
      <c r="H1" s="20" t="inlineStr">
        <is>
          <t>Shared Module / API Contract</t>
        </is>
      </c>
      <c r="I1" s="20" t="inlineStr">
        <is>
          <t>Conflict Risk</t>
        </is>
      </c>
      <c r="J1" s="20" t="inlineStr">
        <is>
          <t>Integration Checkpoint</t>
        </is>
      </c>
      <c r="K1" s="20" t="inlineStr">
        <is>
          <t>Branch / Worktree Strategy</t>
        </is>
      </c>
      <c r="L1" s="20" t="inlineStr">
        <is>
          <t>Conditions for Starting</t>
        </is>
      </c>
      <c r="M1" s="20" t="inlineStr">
        <is>
          <t>Conditions for Completion</t>
        </is>
      </c>
    </row>
    <row r="2" ht="31" customHeight="1">
      <c r="A2" s="17" t="inlineStr">
        <is>
          <t>LS-001</t>
        </is>
      </c>
      <c r="B2" s="4" t="inlineStr">
        <is>
          <t>Read-only repository &amp; toolchain discovery</t>
        </is>
      </c>
      <c r="C2" s="4" t="inlineStr">
        <is>
          <t>None</t>
        </is>
      </c>
      <c r="D2" s="4" t="inlineStr">
        <is>
          <t>–</t>
        </is>
      </c>
      <c r="E2" s="4" t="inlineStr">
        <is>
          <t>LS-003, LS-005, LS-007, LS-008, LS-030, LS-131</t>
        </is>
      </c>
      <c r="F2" s="4" t="inlineStr">
        <is>
          <t>Yes</t>
        </is>
      </c>
      <c r="G2" s="4" t="inlineStr">
        <is>
          <t>–</t>
        </is>
      </c>
      <c r="H2" s="4" t="inlineStr">
        <is>
          <t>Repo / tooling</t>
        </is>
      </c>
      <c r="I2" s="4" t="inlineStr">
        <is>
          <t>Low</t>
        </is>
      </c>
      <c r="J2" s="4" t="inlineStr">
        <is>
          <t>P0 exit: Report delivered</t>
        </is>
      </c>
      <c r="K2" s="4" t="inlineStr">
        <is>
          <t>Own branch/worktree off development; rebase after dependency merges</t>
        </is>
      </c>
      <c r="L2" s="4" t="inlineStr">
        <is>
          <t>Approval A</t>
        </is>
      </c>
      <c r="M2" s="4" t="inlineStr">
        <is>
          <t>DoD met; PR merged by owner; post-merge verification passed</t>
        </is>
      </c>
    </row>
    <row r="3" ht="31" customHeight="1">
      <c r="A3" s="17" t="inlineStr">
        <is>
          <t>LS-002</t>
        </is>
      </c>
      <c r="B3" s="4" t="inlineStr">
        <is>
          <t>Extract Figma Make design: screen inventory, tokens, specs</t>
        </is>
      </c>
      <c r="C3" s="4" t="inlineStr">
        <is>
          <t>None</t>
        </is>
      </c>
      <c r="D3" s="4" t="inlineStr">
        <is>
          <t>–</t>
        </is>
      </c>
      <c r="E3" s="4" t="inlineStr">
        <is>
          <t>LS-003, LS-004, LS-008</t>
        </is>
      </c>
      <c r="F3" s="4" t="inlineStr">
        <is>
          <t>Yes</t>
        </is>
      </c>
      <c r="G3" s="4" t="inlineStr">
        <is>
          <t>–</t>
        </is>
      </c>
      <c r="H3" s="4" t="inlineStr">
        <is>
          <t>Design</t>
        </is>
      </c>
      <c r="I3" s="4" t="inlineStr">
        <is>
          <t>Low</t>
        </is>
      </c>
      <c r="J3" s="4" t="inlineStr">
        <is>
          <t>P0 exit: Report delivered</t>
        </is>
      </c>
      <c r="K3" s="4" t="inlineStr">
        <is>
          <t>Own branch/worktree off development; rebase after dependency merges</t>
        </is>
      </c>
      <c r="L3" s="4" t="inlineStr">
        <is>
          <t>Approval C</t>
        </is>
      </c>
      <c r="M3" s="4" t="inlineStr">
        <is>
          <t>DoD met; PR merged by owner; post-merge verification passed</t>
        </is>
      </c>
    </row>
    <row r="4" ht="31" customHeight="1">
      <c r="A4" s="17" t="inlineStr">
        <is>
          <t>LS-003</t>
        </is>
      </c>
      <c r="B4" s="4" t="inlineStr">
        <is>
          <t>Requirements catalogue, user journeys A–G and edge cases</t>
        </is>
      </c>
      <c r="C4" s="4" t="inlineStr">
        <is>
          <t>LS-001, LS-002</t>
        </is>
      </c>
      <c r="D4" s="4" t="inlineStr">
        <is>
          <t>LS-002</t>
        </is>
      </c>
      <c r="E4" s="4" t="inlineStr">
        <is>
          <t>LS-006</t>
        </is>
      </c>
      <c r="F4" s="4" t="inlineStr">
        <is>
          <t>Yes</t>
        </is>
      </c>
      <c r="G4" s="4" t="inlineStr">
        <is>
          <t>–</t>
        </is>
      </c>
      <c r="H4" s="4" t="inlineStr">
        <is>
          <t>Docs</t>
        </is>
      </c>
      <c r="I4" s="4" t="inlineStr">
        <is>
          <t>Low</t>
        </is>
      </c>
      <c r="J4" s="4" t="inlineStr">
        <is>
          <t>P1 exit: Docs approved</t>
        </is>
      </c>
      <c r="K4" s="4" t="inlineStr">
        <is>
          <t>Own branch/worktree off development; rebase after dependency merges</t>
        </is>
      </c>
      <c r="L4" s="4" t="inlineStr">
        <is>
          <t>Deps merged to development; Approval B</t>
        </is>
      </c>
      <c r="M4" s="4" t="inlineStr">
        <is>
          <t>DoD met; PR merged by owner; post-merge verification passed</t>
        </is>
      </c>
    </row>
    <row r="5" ht="31" customHeight="1">
      <c r="A5" s="17" t="inlineStr">
        <is>
          <t>LS-004</t>
        </is>
      </c>
      <c r="B5" s="4" t="inlineStr">
        <is>
          <t>Resolve design gaps &amp; open product decisions</t>
        </is>
      </c>
      <c r="C5" s="4" t="inlineStr">
        <is>
          <t>LS-002</t>
        </is>
      </c>
      <c r="D5" s="4" t="inlineStr">
        <is>
          <t>LS-002</t>
        </is>
      </c>
      <c r="E5" s="4" t="inlineStr">
        <is>
          <t>LS-046, LS-051, LS-111, LS-113, LS-114, LS-115</t>
        </is>
      </c>
      <c r="F5" s="4" t="inlineStr">
        <is>
          <t>Yes</t>
        </is>
      </c>
      <c r="G5" s="4" t="inlineStr">
        <is>
          <t>–</t>
        </is>
      </c>
      <c r="H5" s="4" t="inlineStr">
        <is>
          <t>Docs / Design</t>
        </is>
      </c>
      <c r="I5" s="4" t="inlineStr">
        <is>
          <t>Low</t>
        </is>
      </c>
      <c r="J5" s="4" t="inlineStr">
        <is>
          <t>P1 exit: Docs approved</t>
        </is>
      </c>
      <c r="K5" s="4" t="inlineStr">
        <is>
          <t>Own branch/worktree off development; rebase after dependency merges</t>
        </is>
      </c>
      <c r="L5" s="4" t="inlineStr">
        <is>
          <t>Deps merged to development; Approval B</t>
        </is>
      </c>
      <c r="M5" s="4" t="inlineStr">
        <is>
          <t>DoD met; PR merged by owner; post-merge verification passed</t>
        </is>
      </c>
    </row>
    <row r="6" ht="31" customHeight="1">
      <c r="A6" s="17" t="inlineStr">
        <is>
          <t>LS-005</t>
        </is>
      </c>
      <c r="B6" s="4" t="inlineStr">
        <is>
          <t>CLAUDE.md and .github/copilot-instructions.md</t>
        </is>
      </c>
      <c r="C6" s="4" t="inlineStr">
        <is>
          <t>LS-001</t>
        </is>
      </c>
      <c r="D6" s="4" t="inlineStr">
        <is>
          <t>LS-001</t>
        </is>
      </c>
      <c r="E6" s="4" t="inlineStr">
        <is>
          <t>–</t>
        </is>
      </c>
      <c r="F6" s="4" t="inlineStr">
        <is>
          <t>Yes</t>
        </is>
      </c>
      <c r="G6" s="4" t="inlineStr">
        <is>
          <t>CLAUDE.md, .github/copilot-instructions.md</t>
        </is>
      </c>
      <c r="H6" s="4" t="inlineStr">
        <is>
          <t>Repo root</t>
        </is>
      </c>
      <c r="I6" s="4" t="inlineStr">
        <is>
          <t>Medium</t>
        </is>
      </c>
      <c r="J6" s="4" t="inlineStr">
        <is>
          <t>P1 exit: Docs approved</t>
        </is>
      </c>
      <c r="K6" s="4" t="inlineStr">
        <is>
          <t>Own branch/worktree off development; rebase after dependency merges</t>
        </is>
      </c>
      <c r="L6" s="4" t="inlineStr">
        <is>
          <t>Deps merged to development; Approval B</t>
        </is>
      </c>
      <c r="M6" s="4" t="inlineStr">
        <is>
          <t>DoD met; PR merged by owner; post-merge verification passed</t>
        </is>
      </c>
    </row>
    <row r="7" ht="31" customHeight="1">
      <c r="A7" s="17" t="inlineStr">
        <is>
          <t>LS-006</t>
        </is>
      </c>
      <c r="B7" s="4" t="inlineStr">
        <is>
          <t>Prompt library (prompts/00–21) and per-ticket prompts</t>
        </is>
      </c>
      <c r="C7" s="4" t="inlineStr">
        <is>
          <t>LS-003, LS-008</t>
        </is>
      </c>
      <c r="D7" s="4" t="inlineStr">
        <is>
          <t>LS-008</t>
        </is>
      </c>
      <c r="E7" s="4" t="inlineStr">
        <is>
          <t>–</t>
        </is>
      </c>
      <c r="F7" s="4" t="inlineStr">
        <is>
          <t>Yes</t>
        </is>
      </c>
      <c r="G7" s="4" t="inlineStr">
        <is>
          <t>–</t>
        </is>
      </c>
      <c r="H7" s="4" t="inlineStr">
        <is>
          <t>prompts/</t>
        </is>
      </c>
      <c r="I7" s="4" t="inlineStr">
        <is>
          <t>Low</t>
        </is>
      </c>
      <c r="J7" s="4" t="inlineStr">
        <is>
          <t>P1 exit: Docs approved</t>
        </is>
      </c>
      <c r="K7" s="4" t="inlineStr">
        <is>
          <t>Own branch/worktree off development; rebase after dependency merges</t>
        </is>
      </c>
      <c r="L7" s="4" t="inlineStr">
        <is>
          <t>Deps merged to development; Approval B</t>
        </is>
      </c>
      <c r="M7" s="4" t="inlineStr">
        <is>
          <t>DoD met; PR merged by owner; post-merge verification passed</t>
        </is>
      </c>
    </row>
    <row r="8" ht="31" customHeight="1">
      <c r="A8" s="17" t="inlineStr">
        <is>
          <t>LS-007</t>
        </is>
      </c>
      <c r="B8" s="4" t="inlineStr">
        <is>
          <t>Commit backlog workbook and design reference pack to docs/</t>
        </is>
      </c>
      <c r="C8" s="4" t="inlineStr">
        <is>
          <t>LS-001</t>
        </is>
      </c>
      <c r="D8" s="4" t="inlineStr">
        <is>
          <t>LS-001</t>
        </is>
      </c>
      <c r="E8" s="4" t="inlineStr">
        <is>
          <t>–</t>
        </is>
      </c>
      <c r="F8" s="4" t="inlineStr">
        <is>
          <t>Yes</t>
        </is>
      </c>
      <c r="G8" s="4" t="inlineStr">
        <is>
          <t>–</t>
        </is>
      </c>
      <c r="H8" s="4" t="inlineStr">
        <is>
          <t>Docs</t>
        </is>
      </c>
      <c r="I8" s="4" t="inlineStr">
        <is>
          <t>Low</t>
        </is>
      </c>
      <c r="J8" s="4" t="inlineStr">
        <is>
          <t>P1 exit: Docs approved</t>
        </is>
      </c>
      <c r="K8" s="4" t="inlineStr">
        <is>
          <t>Own branch/worktree off development; rebase after dependency merges</t>
        </is>
      </c>
      <c r="L8" s="4" t="inlineStr">
        <is>
          <t>Deps merged to development; Approval B</t>
        </is>
      </c>
      <c r="M8" s="4" t="inlineStr">
        <is>
          <t>DoD met; PR merged by owner; post-merge verification passed</t>
        </is>
      </c>
    </row>
    <row r="9" ht="31" customHeight="1">
      <c r="A9" s="17" t="inlineStr">
        <is>
          <t>LS-008</t>
        </is>
      </c>
      <c r="B9" s="4" t="inlineStr">
        <is>
          <t>Architecture ADRs (ADR-001…015)</t>
        </is>
      </c>
      <c r="C9" s="4" t="inlineStr">
        <is>
          <t>LS-001, LS-002</t>
        </is>
      </c>
      <c r="D9" s="4" t="inlineStr">
        <is>
          <t>LS-002</t>
        </is>
      </c>
      <c r="E9" s="4" t="inlineStr">
        <is>
          <t>LS-006, LS-030, LS-031</t>
        </is>
      </c>
      <c r="F9" s="4" t="inlineStr">
        <is>
          <t>Yes</t>
        </is>
      </c>
      <c r="G9" s="4" t="inlineStr">
        <is>
          <t>–</t>
        </is>
      </c>
      <c r="H9" s="4" t="inlineStr">
        <is>
          <t>Docs / Architecture</t>
        </is>
      </c>
      <c r="I9" s="4" t="inlineStr">
        <is>
          <t>Low</t>
        </is>
      </c>
      <c r="J9" s="4" t="inlineStr">
        <is>
          <t>P1 exit: Docs approved</t>
        </is>
      </c>
      <c r="K9" s="4" t="inlineStr">
        <is>
          <t>Own branch/worktree off development; rebase after dependency merges</t>
        </is>
      </c>
      <c r="L9" s="4" t="inlineStr">
        <is>
          <t>Deps merged to development; Approval B</t>
        </is>
      </c>
      <c r="M9" s="4" t="inlineStr">
        <is>
          <t>DoD met; PR merged by owner; post-merge verification passed</t>
        </is>
      </c>
    </row>
    <row r="10" ht="31" customHeight="1">
      <c r="A10" s="17" t="inlineStr">
        <is>
          <t>LS-010</t>
        </is>
      </c>
      <c r="B10" s="4" t="inlineStr">
        <is>
          <t>Colour tokens → Compose theme</t>
        </is>
      </c>
      <c r="C10" s="4" t="inlineStr">
        <is>
          <t>LS-031</t>
        </is>
      </c>
      <c r="D10" s="4" t="inlineStr">
        <is>
          <t>LS-031</t>
        </is>
      </c>
      <c r="E10" s="4" t="inlineStr">
        <is>
          <t>LS-014, LS-015, LS-018, LS-150</t>
        </is>
      </c>
      <c r="F10" s="4" t="inlineStr">
        <is>
          <t>After deps</t>
        </is>
      </c>
      <c r="G10" s="4" t="inlineStr">
        <is>
          <t>core/designsystem/theme/Color.kt</t>
        </is>
      </c>
      <c r="H10" s="4" t="inlineStr">
        <is>
          <t>:core:designsystem</t>
        </is>
      </c>
      <c r="I10" s="4" t="inlineStr">
        <is>
          <t>High</t>
        </is>
      </c>
      <c r="J10" s="4" t="inlineStr">
        <is>
          <t>P2 exit: Build + tests + lint green</t>
        </is>
      </c>
      <c r="K10" s="4" t="inlineStr">
        <is>
          <t>Single owner; run sequentially; own worktree off latest development</t>
        </is>
      </c>
      <c r="L10" s="4" t="inlineStr">
        <is>
          <t>Deps merged to development; Approval C</t>
        </is>
      </c>
      <c r="M10" s="4" t="inlineStr">
        <is>
          <t>DoD met; PR merged by owner; post-merge verification passed</t>
        </is>
      </c>
    </row>
    <row r="11" ht="31" customHeight="1">
      <c r="A11" s="17" t="inlineStr">
        <is>
          <t>LS-011</t>
        </is>
      </c>
      <c r="B11" s="4" t="inlineStr">
        <is>
          <t>Typography: DM Sans + Manrope + Kannada fallback, type scale</t>
        </is>
      </c>
      <c r="C11" s="4" t="inlineStr">
        <is>
          <t>LS-031</t>
        </is>
      </c>
      <c r="D11" s="4" t="inlineStr">
        <is>
          <t>LS-031</t>
        </is>
      </c>
      <c r="E11" s="4" t="inlineStr">
        <is>
          <t>LS-014, LS-015</t>
        </is>
      </c>
      <c r="F11" s="4" t="inlineStr">
        <is>
          <t>After deps</t>
        </is>
      </c>
      <c r="G11" s="4" t="inlineStr">
        <is>
          <t>core/designsystem/theme/Type.kt, res/font</t>
        </is>
      </c>
      <c r="H11" s="4" t="inlineStr">
        <is>
          <t>:core:designsystem</t>
        </is>
      </c>
      <c r="I11" s="4" t="inlineStr">
        <is>
          <t>High</t>
        </is>
      </c>
      <c r="J11" s="4" t="inlineStr">
        <is>
          <t>P2 exit: Build + tests + lint green</t>
        </is>
      </c>
      <c r="K11" s="4" t="inlineStr">
        <is>
          <t>Single owner; run sequentially; own worktree off latest development</t>
        </is>
      </c>
      <c r="L11" s="4" t="inlineStr">
        <is>
          <t>Deps merged to development; Approval C</t>
        </is>
      </c>
      <c r="M11" s="4" t="inlineStr">
        <is>
          <t>DoD met; PR merged by owner; post-merge verification passed</t>
        </is>
      </c>
    </row>
    <row r="12" ht="31" customHeight="1">
      <c r="A12" s="17" t="inlineStr">
        <is>
          <t>LS-012</t>
        </is>
      </c>
      <c r="B12" s="4" t="inlineStr">
        <is>
          <t>Shape, spacing, elevation and motion tokens</t>
        </is>
      </c>
      <c r="C12" s="4" t="inlineStr">
        <is>
          <t>LS-031</t>
        </is>
      </c>
      <c r="D12" s="4" t="inlineStr">
        <is>
          <t>LS-031</t>
        </is>
      </c>
      <c r="E12" s="4" t="inlineStr">
        <is>
          <t>LS-015, LS-018</t>
        </is>
      </c>
      <c r="F12" s="4" t="inlineStr">
        <is>
          <t>After deps</t>
        </is>
      </c>
      <c r="G12" s="4" t="inlineStr">
        <is>
          <t>core/designsystem/theme/Dimens.kt, Shape.kt, Motion.kt</t>
        </is>
      </c>
      <c r="H12" s="4" t="inlineStr">
        <is>
          <t>:core:designsystem</t>
        </is>
      </c>
      <c r="I12" s="4" t="inlineStr">
        <is>
          <t>High</t>
        </is>
      </c>
      <c r="J12" s="4" t="inlineStr">
        <is>
          <t>P2 exit: Build + tests + lint green</t>
        </is>
      </c>
      <c r="K12" s="4" t="inlineStr">
        <is>
          <t>Single owner; run sequentially; own worktree off latest development</t>
        </is>
      </c>
      <c r="L12" s="4" t="inlineStr">
        <is>
          <t>Deps merged to development; Approval C</t>
        </is>
      </c>
      <c r="M12" s="4" t="inlineStr">
        <is>
          <t>DoD met; PR merged by owner; post-merge verification passed</t>
        </is>
      </c>
    </row>
    <row r="13" ht="31" customHeight="1">
      <c r="A13" s="17" t="inlineStr">
        <is>
          <t>LS-013</t>
        </is>
      </c>
      <c r="B13" s="4" t="inlineStr">
        <is>
          <t>Icon set (21 line icons) as vector drawables</t>
        </is>
      </c>
      <c r="C13" s="4" t="inlineStr">
        <is>
          <t>LS-031</t>
        </is>
      </c>
      <c r="D13" s="4" t="inlineStr">
        <is>
          <t>LS-031</t>
        </is>
      </c>
      <c r="E13" s="4" t="inlineStr">
        <is>
          <t>LS-019, LS-094</t>
        </is>
      </c>
      <c r="F13" s="4" t="inlineStr">
        <is>
          <t>Yes</t>
        </is>
      </c>
      <c r="G13" s="4" t="inlineStr">
        <is>
          <t>–</t>
        </is>
      </c>
      <c r="H13" s="4" t="inlineStr">
        <is>
          <t>:core:designsystem</t>
        </is>
      </c>
      <c r="I13" s="4" t="inlineStr">
        <is>
          <t>Low</t>
        </is>
      </c>
      <c r="J13" s="4" t="inlineStr">
        <is>
          <t>P2 exit: Build + tests + lint green</t>
        </is>
      </c>
      <c r="K13" s="4" t="inlineStr">
        <is>
          <t>Own branch/worktree off development; rebase after dependency merges</t>
        </is>
      </c>
      <c r="L13" s="4" t="inlineStr">
        <is>
          <t>Deps merged to development; Approval C</t>
        </is>
      </c>
      <c r="M13" s="4" t="inlineStr">
        <is>
          <t>DoD met; PR merged by owner; post-merge verification passed</t>
        </is>
      </c>
    </row>
    <row r="14" ht="31" customHeight="1">
      <c r="A14" s="17" t="inlineStr">
        <is>
          <t>LS-014</t>
        </is>
      </c>
      <c r="B14" s="4" t="inlineStr">
        <is>
          <t>LittleStory brand mark composable (default + light)</t>
        </is>
      </c>
      <c r="C14" s="4" t="inlineStr">
        <is>
          <t>LS-010, LS-011</t>
        </is>
      </c>
      <c r="D14" s="4" t="inlineStr">
        <is>
          <t>LS-011</t>
        </is>
      </c>
      <c r="E14" s="4" t="inlineStr">
        <is>
          <t>LS-060</t>
        </is>
      </c>
      <c r="F14" s="4" t="inlineStr">
        <is>
          <t>Yes</t>
        </is>
      </c>
      <c r="G14" s="4" t="inlineStr">
        <is>
          <t>–</t>
        </is>
      </c>
      <c r="H14" s="4" t="inlineStr">
        <is>
          <t>:core:designsystem</t>
        </is>
      </c>
      <c r="I14" s="4" t="inlineStr">
        <is>
          <t>Low</t>
        </is>
      </c>
      <c r="J14" s="4" t="inlineStr">
        <is>
          <t>P2 exit: Build + tests + lint green</t>
        </is>
      </c>
      <c r="K14" s="4" t="inlineStr">
        <is>
          <t>Own branch/worktree off development; rebase after dependency merges</t>
        </is>
      </c>
      <c r="L14" s="4" t="inlineStr">
        <is>
          <t>Deps merged to development; Approval C</t>
        </is>
      </c>
      <c r="M14" s="4" t="inlineStr">
        <is>
          <t>DoD met; PR merged by owner; post-merge verification passed</t>
        </is>
      </c>
    </row>
    <row r="15" ht="31" customHeight="1">
      <c r="A15" s="17" t="inlineStr">
        <is>
          <t>LS-015</t>
        </is>
      </c>
      <c r="B15" s="4" t="inlineStr">
        <is>
          <t>Buttons and IconButton components</t>
        </is>
      </c>
      <c r="C15" s="4" t="inlineStr">
        <is>
          <t>LS-010, LS-011, LS-012</t>
        </is>
      </c>
      <c r="D15" s="4" t="inlineStr">
        <is>
          <t>LS-012</t>
        </is>
      </c>
      <c r="E15" s="4" t="inlineStr">
        <is>
          <t>LS-016, LS-017, LS-018, LS-019, LS-020</t>
        </is>
      </c>
      <c r="F15" s="4" t="inlineStr">
        <is>
          <t>After deps</t>
        </is>
      </c>
      <c r="G15" s="4" t="inlineStr">
        <is>
          <t>–</t>
        </is>
      </c>
      <c r="H15" s="4" t="inlineStr">
        <is>
          <t>:core:designsystem</t>
        </is>
      </c>
      <c r="I15" s="4" t="inlineStr">
        <is>
          <t>Low</t>
        </is>
      </c>
      <c r="J15" s="4" t="inlineStr">
        <is>
          <t>P2 exit: Build + tests + lint green</t>
        </is>
      </c>
      <c r="K15" s="4" t="inlineStr">
        <is>
          <t>Own branch/worktree off development; rebase after dependency merges</t>
        </is>
      </c>
      <c r="L15" s="4" t="inlineStr">
        <is>
          <t>Deps merged to development; Approval C</t>
        </is>
      </c>
      <c r="M15" s="4" t="inlineStr">
        <is>
          <t>DoD met; PR merged by owner; post-merge verification passed</t>
        </is>
      </c>
    </row>
    <row r="16" ht="31" customHeight="1">
      <c r="A16" s="17" t="inlineStr">
        <is>
          <t>LS-016</t>
        </is>
      </c>
      <c r="B16" s="4" t="inlineStr">
        <is>
          <t>Form components: text field, select, chips, segmented, toggle, search, tabs</t>
        </is>
      </c>
      <c r="C16" s="4" t="inlineStr">
        <is>
          <t>LS-015</t>
        </is>
      </c>
      <c r="D16" s="4" t="inlineStr">
        <is>
          <t>LS-015</t>
        </is>
      </c>
      <c r="E16" s="4" t="inlineStr">
        <is>
          <t>LS-020, LS-061, LS-071, LS-080, LS-100, LS-110</t>
        </is>
      </c>
      <c r="F16" s="4" t="inlineStr">
        <is>
          <t>After deps</t>
        </is>
      </c>
      <c r="G16" s="4" t="inlineStr">
        <is>
          <t>–</t>
        </is>
      </c>
      <c r="H16" s="4" t="inlineStr">
        <is>
          <t>:core:designsystem</t>
        </is>
      </c>
      <c r="I16" s="4" t="inlineStr">
        <is>
          <t>Low</t>
        </is>
      </c>
      <c r="J16" s="4" t="inlineStr">
        <is>
          <t>P2 exit: Build + tests + lint green</t>
        </is>
      </c>
      <c r="K16" s="4" t="inlineStr">
        <is>
          <t>Own branch/worktree off development; rebase after dependency merges</t>
        </is>
      </c>
      <c r="L16" s="4" t="inlineStr">
        <is>
          <t>Deps merged to development; Approval C</t>
        </is>
      </c>
      <c r="M16" s="4" t="inlineStr">
        <is>
          <t>DoD met; PR merged by owner; post-merge verification passed</t>
        </is>
      </c>
    </row>
    <row r="17" ht="44.5" customHeight="1">
      <c r="A17" s="17" t="inlineStr">
        <is>
          <t>LS-017</t>
        </is>
      </c>
      <c r="B17" s="4" t="inlineStr">
        <is>
          <t>Feedback components: bottom sheet, dialog, toast, empty state, notes banner, progress bars</t>
        </is>
      </c>
      <c r="C17" s="4" t="inlineStr">
        <is>
          <t>LS-015</t>
        </is>
      </c>
      <c r="D17" s="4" t="inlineStr">
        <is>
          <t>LS-015</t>
        </is>
      </c>
      <c r="E17" s="4" t="inlineStr">
        <is>
          <t>LS-020, LS-060, LS-072, LS-083, LS-092, LS-101, LS-113</t>
        </is>
      </c>
      <c r="F17" s="4" t="inlineStr">
        <is>
          <t>After deps</t>
        </is>
      </c>
      <c r="G17" s="4" t="inlineStr">
        <is>
          <t>–</t>
        </is>
      </c>
      <c r="H17" s="4" t="inlineStr">
        <is>
          <t>:core:designsystem</t>
        </is>
      </c>
      <c r="I17" s="4" t="inlineStr">
        <is>
          <t>Low</t>
        </is>
      </c>
      <c r="J17" s="4" t="inlineStr">
        <is>
          <t>P2 exit: Build + tests + lint green</t>
        </is>
      </c>
      <c r="K17" s="4" t="inlineStr">
        <is>
          <t>Own branch/worktree off development; rebase after dependency merges</t>
        </is>
      </c>
      <c r="L17" s="4" t="inlineStr">
        <is>
          <t>Deps merged to development; Approval C</t>
        </is>
      </c>
      <c r="M17" s="4" t="inlineStr">
        <is>
          <t>DoD met; PR merged by owner; post-merge verification passed</t>
        </is>
      </c>
    </row>
    <row r="18" ht="44.5" customHeight="1">
      <c r="A18" s="17" t="inlineStr">
        <is>
          <t>LS-018</t>
        </is>
      </c>
      <c r="B18" s="4" t="inlineStr">
        <is>
          <t>Story components: StoryArt, StoryCard, ListStoryRow, ContinueCard, SectionHeader, Avatar</t>
        </is>
      </c>
      <c r="C18" s="4" t="inlineStr">
        <is>
          <t>LS-010, LS-012, LS-015</t>
        </is>
      </c>
      <c r="D18" s="4" t="inlineStr">
        <is>
          <t>LS-015</t>
        </is>
      </c>
      <c r="E18" s="4" t="inlineStr">
        <is>
          <t>LS-020, LS-070, LS-071, LS-073, LS-074, LS-084, LS-090, LS-092, LS-100, LS-101</t>
        </is>
      </c>
      <c r="F18" s="4" t="inlineStr">
        <is>
          <t>After deps</t>
        </is>
      </c>
      <c r="G18" s="4" t="inlineStr">
        <is>
          <t>–</t>
        </is>
      </c>
      <c r="H18" s="4" t="inlineStr">
        <is>
          <t>:core:ui</t>
        </is>
      </c>
      <c r="I18" s="4" t="inlineStr">
        <is>
          <t>Low</t>
        </is>
      </c>
      <c r="J18" s="4" t="inlineStr">
        <is>
          <t>P2 exit: Build + tests + lint green</t>
        </is>
      </c>
      <c r="K18" s="4" t="inlineStr">
        <is>
          <t>Own branch/worktree off development; rebase after dependency merges</t>
        </is>
      </c>
      <c r="L18" s="4" t="inlineStr">
        <is>
          <t>Deps merged to development; Approval C</t>
        </is>
      </c>
      <c r="M18" s="4" t="inlineStr">
        <is>
          <t>DoD met; PR merged by owner; post-merge verification passed</t>
        </is>
      </c>
    </row>
    <row r="19" ht="31" customHeight="1">
      <c r="A19" s="17" t="inlineStr">
        <is>
          <t>LS-019</t>
        </is>
      </c>
      <c r="B19" s="4" t="inlineStr">
        <is>
          <t>Navigation chrome: TopBar, BottomNav, sticky action bars</t>
        </is>
      </c>
      <c r="C19" s="4" t="inlineStr">
        <is>
          <t>LS-013, LS-015</t>
        </is>
      </c>
      <c r="D19" s="4" t="inlineStr">
        <is>
          <t>LS-015</t>
        </is>
      </c>
      <c r="E19" s="4" t="inlineStr">
        <is>
          <t>LS-020, LS-050</t>
        </is>
      </c>
      <c r="F19" s="4" t="inlineStr">
        <is>
          <t>After deps</t>
        </is>
      </c>
      <c r="G19" s="4" t="inlineStr">
        <is>
          <t>–</t>
        </is>
      </c>
      <c r="H19" s="4" t="inlineStr">
        <is>
          <t>:core:ui</t>
        </is>
      </c>
      <c r="I19" s="4" t="inlineStr">
        <is>
          <t>Medium</t>
        </is>
      </c>
      <c r="J19" s="4" t="inlineStr">
        <is>
          <t>P2 exit: Build + tests + lint green</t>
        </is>
      </c>
      <c r="K19" s="4" t="inlineStr">
        <is>
          <t>Own branch/worktree off development; rebase after dependency merges</t>
        </is>
      </c>
      <c r="L19" s="4" t="inlineStr">
        <is>
          <t>Deps merged to development; Approval C</t>
        </is>
      </c>
      <c r="M19" s="4" t="inlineStr">
        <is>
          <t>DoD met; PR merged by owner; post-merge verification passed</t>
        </is>
      </c>
    </row>
    <row r="20" ht="31" customHeight="1">
      <c r="A20" s="17" t="inlineStr">
        <is>
          <t>LS-020</t>
        </is>
      </c>
      <c r="B20" s="4" t="inlineStr">
        <is>
          <t>Design-system catalogue &amp; screenshot baselines (EN/KN)</t>
        </is>
      </c>
      <c r="C20" s="4" t="inlineStr">
        <is>
          <t>LS-015, LS-016, LS-017, LS-018, LS-019, LS-035</t>
        </is>
      </c>
      <c r="D20" s="4" t="inlineStr">
        <is>
          <t>LS-035</t>
        </is>
      </c>
      <c r="E20" s="4" t="inlineStr">
        <is>
          <t>–</t>
        </is>
      </c>
      <c r="F20" s="4" t="inlineStr">
        <is>
          <t>After deps</t>
        </is>
      </c>
      <c r="G20" s="4" t="inlineStr">
        <is>
          <t>–</t>
        </is>
      </c>
      <c r="H20" s="4" t="inlineStr">
        <is>
          <t>:core:designsystem</t>
        </is>
      </c>
      <c r="I20" s="4" t="inlineStr">
        <is>
          <t>Low</t>
        </is>
      </c>
      <c r="J20" s="4" t="inlineStr">
        <is>
          <t>P2 exit: Build + tests + lint green</t>
        </is>
      </c>
      <c r="K20" s="4" t="inlineStr">
        <is>
          <t>Own branch/worktree off development; rebase after dependency merges</t>
        </is>
      </c>
      <c r="L20" s="4" t="inlineStr">
        <is>
          <t>Deps merged to development; Approval C</t>
        </is>
      </c>
      <c r="M20" s="4" t="inlineStr">
        <is>
          <t>DoD met; PR merged by owner; post-merge verification passed</t>
        </is>
      </c>
    </row>
    <row r="21" ht="44.5" customHeight="1">
      <c r="A21" s="17" t="inlineStr">
        <is>
          <t>LS-030</t>
        </is>
      </c>
      <c r="B21" s="4" t="inlineStr">
        <is>
          <t>Project baseline: Gradle wrapper, version catalog, JDK toolchain, .gitattributes</t>
        </is>
      </c>
      <c r="C21" s="4" t="inlineStr">
        <is>
          <t>LS-001, LS-008, LS-009, LS-039</t>
        </is>
      </c>
      <c r="D21" s="4" t="inlineStr">
        <is>
          <t>LS-008</t>
        </is>
      </c>
      <c r="E21" s="4" t="inlineStr">
        <is>
          <t>LS-031, LS-130, LS-132</t>
        </is>
      </c>
      <c r="F21" s="4" t="inlineStr">
        <is>
          <t>No</t>
        </is>
      </c>
      <c r="G21" s="4" t="inlineStr">
        <is>
          <t>settings.gradle.kts, gradle/libs.versions.toml, .gitattributes</t>
        </is>
      </c>
      <c r="H21" s="4" t="inlineStr">
        <is>
          <t>Build</t>
        </is>
      </c>
      <c r="I21" s="4" t="inlineStr">
        <is>
          <t>High</t>
        </is>
      </c>
      <c r="J21" s="4" t="inlineStr">
        <is>
          <t>P2 exit: Build + tests + lint green</t>
        </is>
      </c>
      <c r="K21" s="4" t="inlineStr">
        <is>
          <t>Single owner; run sequentially; own worktree off latest development</t>
        </is>
      </c>
      <c r="L21" s="4" t="inlineStr">
        <is>
          <t>Deps merged to development; Approval C</t>
        </is>
      </c>
      <c r="M21" s="4" t="inlineStr">
        <is>
          <t>DoD met; PR merged by owner; post-merge verification passed</t>
        </is>
      </c>
    </row>
    <row r="22" ht="44.5" customHeight="1">
      <c r="A22" s="17" t="inlineStr">
        <is>
          <t>LS-031</t>
        </is>
      </c>
      <c r="B22" s="4" t="inlineStr">
        <is>
          <t>Module structure + build-logic convention plugins</t>
        </is>
      </c>
      <c r="C22" s="4" t="inlineStr">
        <is>
          <t>LS-030, LS-008</t>
        </is>
      </c>
      <c r="D22" s="4" t="inlineStr">
        <is>
          <t>LS-008</t>
        </is>
      </c>
      <c r="E22" s="4" t="inlineStr">
        <is>
          <t>LS-010, LS-011, LS-012, LS-013, LS-032, LS-033, LS-034, LS-035, LS-037, LS-040, LS-050</t>
        </is>
      </c>
      <c r="F22" s="4" t="inlineStr">
        <is>
          <t>No</t>
        </is>
      </c>
      <c r="G22" s="4" t="inlineStr">
        <is>
          <t>settings.gradle.kts, build-logic/</t>
        </is>
      </c>
      <c r="H22" s="4" t="inlineStr">
        <is>
          <t>Build</t>
        </is>
      </c>
      <c r="I22" s="4" t="inlineStr">
        <is>
          <t>High</t>
        </is>
      </c>
      <c r="J22" s="4" t="inlineStr">
        <is>
          <t>P2 exit: Build + tests + lint green</t>
        </is>
      </c>
      <c r="K22" s="4" t="inlineStr">
        <is>
          <t>Single owner; run sequentially; own worktree off latest development</t>
        </is>
      </c>
      <c r="L22" s="4" t="inlineStr">
        <is>
          <t>Deps merged to development; Approval C</t>
        </is>
      </c>
      <c r="M22" s="4" t="inlineStr">
        <is>
          <t>DoD met; PR merged by owner; post-merge verification passed</t>
        </is>
      </c>
    </row>
    <row r="23" ht="31" customHeight="1">
      <c r="A23" s="17" t="inlineStr">
        <is>
          <t>LS-032</t>
        </is>
      </c>
      <c r="B23" s="4" t="inlineStr">
        <is>
          <t>Dependency injection (Hilt) and Application entry</t>
        </is>
      </c>
      <c r="C23" s="4" t="inlineStr">
        <is>
          <t>LS-031</t>
        </is>
      </c>
      <c r="D23" s="4" t="inlineStr">
        <is>
          <t>LS-031</t>
        </is>
      </c>
      <c r="E23" s="4" t="inlineStr">
        <is>
          <t>–</t>
        </is>
      </c>
      <c r="F23" s="4" t="inlineStr">
        <is>
          <t>After deps</t>
        </is>
      </c>
      <c r="G23" s="4" t="inlineStr">
        <is>
          <t>app/build.gradle.kts, AndroidManifest.xml</t>
        </is>
      </c>
      <c r="H23" s="4" t="inlineStr">
        <is>
          <t>:app</t>
        </is>
      </c>
      <c r="I23" s="4" t="inlineStr">
        <is>
          <t>High</t>
        </is>
      </c>
      <c r="J23" s="4" t="inlineStr">
        <is>
          <t>P2 exit: Build + tests + lint green</t>
        </is>
      </c>
      <c r="K23" s="4" t="inlineStr">
        <is>
          <t>Single owner; run sequentially; own worktree off latest development</t>
        </is>
      </c>
      <c r="L23" s="4" t="inlineStr">
        <is>
          <t>Deps merged to development; Approval C</t>
        </is>
      </c>
      <c r="M23" s="4" t="inlineStr">
        <is>
          <t>DoD met; PR merged by owner; post-merge verification passed</t>
        </is>
      </c>
    </row>
    <row r="24" ht="31" customHeight="1">
      <c r="A24" s="17" t="inlineStr">
        <is>
          <t>LS-033</t>
        </is>
      </c>
      <c r="B24" s="4" t="inlineStr">
        <is>
          <t>Central configuration &amp; feature flags (AppConfig)</t>
        </is>
      </c>
      <c r="C24" s="4" t="inlineStr">
        <is>
          <t>LS-031</t>
        </is>
      </c>
      <c r="D24" s="4" t="inlineStr">
        <is>
          <t>LS-031</t>
        </is>
      </c>
      <c r="E24" s="4" t="inlineStr">
        <is>
          <t>LS-080, LS-082, LS-092, LS-113, LS-150</t>
        </is>
      </c>
      <c r="F24" s="4" t="inlineStr">
        <is>
          <t>After deps</t>
        </is>
      </c>
      <c r="G24" s="4" t="inlineStr">
        <is>
          <t>core/common/config/AppConfig.kt</t>
        </is>
      </c>
      <c r="H24" s="4" t="inlineStr">
        <is>
          <t>:core:common</t>
        </is>
      </c>
      <c r="I24" s="4" t="inlineStr">
        <is>
          <t>Medium</t>
        </is>
      </c>
      <c r="J24" s="4" t="inlineStr">
        <is>
          <t>P2 exit: Build + tests + lint green</t>
        </is>
      </c>
      <c r="K24" s="4" t="inlineStr">
        <is>
          <t>Own branch/worktree off development; rebase after dependency merges</t>
        </is>
      </c>
      <c r="L24" s="4" t="inlineStr">
        <is>
          <t>Deps merged to development; Approval C</t>
        </is>
      </c>
      <c r="M24" s="4" t="inlineStr">
        <is>
          <t>DoD met; PR merged by owner; post-merge verification passed</t>
        </is>
      </c>
    </row>
    <row r="25" ht="31" customHeight="1">
      <c r="A25" s="17" t="inlineStr">
        <is>
          <t>LS-034</t>
        </is>
      </c>
      <c r="B25" s="4" t="inlineStr">
        <is>
          <t>Lint &amp; static analysis rules (hardcoding, translations)</t>
        </is>
      </c>
      <c r="C25" s="4" t="inlineStr">
        <is>
          <t>LS-031</t>
        </is>
      </c>
      <c r="D25" s="4" t="inlineStr">
        <is>
          <t>LS-031</t>
        </is>
      </c>
      <c r="E25" s="4" t="inlineStr">
        <is>
          <t>LS-125, LS-130</t>
        </is>
      </c>
      <c r="F25" s="4" t="inlineStr">
        <is>
          <t>After deps</t>
        </is>
      </c>
      <c r="G25" s="4" t="inlineStr">
        <is>
          <t>lint.xml, detekt.yml</t>
        </is>
      </c>
      <c r="H25" s="4" t="inlineStr">
        <is>
          <t>Build</t>
        </is>
      </c>
      <c r="I25" s="4" t="inlineStr">
        <is>
          <t>Medium</t>
        </is>
      </c>
      <c r="J25" s="4" t="inlineStr">
        <is>
          <t>P2 exit: Build + tests + lint green</t>
        </is>
      </c>
      <c r="K25" s="4" t="inlineStr">
        <is>
          <t>Own branch/worktree off development; rebase after dependency merges</t>
        </is>
      </c>
      <c r="L25" s="4" t="inlineStr">
        <is>
          <t>Deps merged to development; Approval C</t>
        </is>
      </c>
      <c r="M25" s="4" t="inlineStr">
        <is>
          <t>DoD met; PR merged by owner; post-merge verification passed</t>
        </is>
      </c>
    </row>
    <row r="26" ht="31" customHeight="1">
      <c r="A26" s="17" t="inlineStr">
        <is>
          <t>LS-035</t>
        </is>
      </c>
      <c r="B26" s="4" t="inlineStr">
        <is>
          <t>Test infrastructure (unit, UI, screenshot)</t>
        </is>
      </c>
      <c r="C26" s="4" t="inlineStr">
        <is>
          <t>LS-031</t>
        </is>
      </c>
      <c r="D26" s="4" t="inlineStr">
        <is>
          <t>LS-031</t>
        </is>
      </c>
      <c r="E26" s="4" t="inlineStr">
        <is>
          <t>LS-020, LS-122</t>
        </is>
      </c>
      <c r="F26" s="4" t="inlineStr">
        <is>
          <t>After deps</t>
        </is>
      </c>
      <c r="G26" s="4" t="inlineStr">
        <is>
          <t>gradle/libs.versions.toml</t>
        </is>
      </c>
      <c r="H26" s="4" t="inlineStr">
        <is>
          <t>Build / test</t>
        </is>
      </c>
      <c r="I26" s="4" t="inlineStr">
        <is>
          <t>Medium</t>
        </is>
      </c>
      <c r="J26" s="4" t="inlineStr">
        <is>
          <t>P2 exit: Build + tests + lint green</t>
        </is>
      </c>
      <c r="K26" s="4" t="inlineStr">
        <is>
          <t>Own branch/worktree off development; rebase after dependency merges</t>
        </is>
      </c>
      <c r="L26" s="4" t="inlineStr">
        <is>
          <t>Deps merged to development; Approval C</t>
        </is>
      </c>
      <c r="M26" s="4" t="inlineStr">
        <is>
          <t>DoD met; PR merged by owner; post-merge verification passed</t>
        </is>
      </c>
    </row>
    <row r="27" ht="44.5" customHeight="1">
      <c r="A27" s="17" t="inlineStr">
        <is>
          <t>LS-036</t>
        </is>
      </c>
      <c r="B27" s="4" t="inlineStr">
        <is>
          <t>Mock data sources: per-language JSON assets + loader</t>
        </is>
      </c>
      <c r="C27" s="4" t="inlineStr">
        <is>
          <t>LS-037</t>
        </is>
      </c>
      <c r="D27" s="4" t="inlineStr">
        <is>
          <t>LS-037</t>
        </is>
      </c>
      <c r="E27" s="4" t="inlineStr">
        <is>
          <t>LS-044, LS-070, LS-071, LS-073, LS-074, LS-082, LS-090, LS-112</t>
        </is>
      </c>
      <c r="F27" s="4" t="inlineStr">
        <is>
          <t>After deps</t>
        </is>
      </c>
      <c r="G27" s="4" t="inlineStr">
        <is>
          <t>–</t>
        </is>
      </c>
      <c r="H27" s="4" t="inlineStr">
        <is>
          <t>:data</t>
        </is>
      </c>
      <c r="I27" s="4" t="inlineStr">
        <is>
          <t>Low</t>
        </is>
      </c>
      <c r="J27" s="4" t="inlineStr">
        <is>
          <t>P2 exit: Build + tests + lint green</t>
        </is>
      </c>
      <c r="K27" s="4" t="inlineStr">
        <is>
          <t>Own branch/worktree off development; rebase after dependency merges</t>
        </is>
      </c>
      <c r="L27" s="4" t="inlineStr">
        <is>
          <t>Deps merged to development; Approval C</t>
        </is>
      </c>
      <c r="M27" s="4" t="inlineStr">
        <is>
          <t>DoD met; PR merged by owner; post-merge verification passed</t>
        </is>
      </c>
    </row>
    <row r="28" ht="31" customHeight="1">
      <c r="A28" s="17" t="inlineStr">
        <is>
          <t>LS-037</t>
        </is>
      </c>
      <c r="B28" s="4" t="inlineStr">
        <is>
          <t>Domain models &amp; repository interfaces</t>
        </is>
      </c>
      <c r="C28" s="4" t="inlineStr">
        <is>
          <t>LS-031</t>
        </is>
      </c>
      <c r="D28" s="4" t="inlineStr">
        <is>
          <t>LS-031</t>
        </is>
      </c>
      <c r="E28" s="4" t="inlineStr">
        <is>
          <t>LS-036, LS-038, LS-082, LS-140</t>
        </is>
      </c>
      <c r="F28" s="4" t="inlineStr">
        <is>
          <t>After deps</t>
        </is>
      </c>
      <c r="G28" s="4" t="inlineStr">
        <is>
          <t>domain/model/*, domain/repository/*</t>
        </is>
      </c>
      <c r="H28" s="4" t="inlineStr">
        <is>
          <t>:domain</t>
        </is>
      </c>
      <c r="I28" s="4" t="inlineStr">
        <is>
          <t>High</t>
        </is>
      </c>
      <c r="J28" s="4" t="inlineStr">
        <is>
          <t>P2 exit: Build + tests + lint green</t>
        </is>
      </c>
      <c r="K28" s="4" t="inlineStr">
        <is>
          <t>Single owner; run sequentially; own worktree off latest development</t>
        </is>
      </c>
      <c r="L28" s="4" t="inlineStr">
        <is>
          <t>Deps merged to development; Approval C</t>
        </is>
      </c>
      <c r="M28" s="4" t="inlineStr">
        <is>
          <t>DoD met; PR merged by owner; post-merge verification passed</t>
        </is>
      </c>
    </row>
    <row r="29" ht="31" customHeight="1">
      <c r="A29" s="17" t="inlineStr">
        <is>
          <t>LS-038</t>
        </is>
      </c>
      <c r="B29" s="4" t="inlineStr">
        <is>
          <t>Local persistence (DataStore + Room per ADR-004)</t>
        </is>
      </c>
      <c r="C29" s="4" t="inlineStr">
        <is>
          <t>LS-037</t>
        </is>
      </c>
      <c r="D29" s="4" t="inlineStr">
        <is>
          <t>LS-037</t>
        </is>
      </c>
      <c r="E29" s="4" t="inlineStr">
        <is>
          <t>LS-051, LS-062, LS-075, LS-091, LS-101, LS-111</t>
        </is>
      </c>
      <c r="F29" s="4" t="inlineStr">
        <is>
          <t>After deps</t>
        </is>
      </c>
      <c r="G29" s="4" t="inlineStr">
        <is>
          <t>–</t>
        </is>
      </c>
      <c r="H29" s="4" t="inlineStr">
        <is>
          <t>:data</t>
        </is>
      </c>
      <c r="I29" s="4" t="inlineStr">
        <is>
          <t>Medium</t>
        </is>
      </c>
      <c r="J29" s="4" t="inlineStr">
        <is>
          <t>P2 exit: Build + tests + lint green</t>
        </is>
      </c>
      <c r="K29" s="4" t="inlineStr">
        <is>
          <t>Own branch/worktree off development; rebase after dependency merges</t>
        </is>
      </c>
      <c r="L29" s="4" t="inlineStr">
        <is>
          <t>Deps merged to development; Approval C</t>
        </is>
      </c>
      <c r="M29" s="4" t="inlineStr">
        <is>
          <t>DoD met; PR merged by owner; post-merge verification passed</t>
        </is>
      </c>
    </row>
    <row r="30" ht="44.5" customHeight="1">
      <c r="A30" s="17" t="inlineStr">
        <is>
          <t>LS-040</t>
        </is>
      </c>
      <c r="B30" s="4" t="inlineStr">
        <is>
          <t>Localization foundation: EN/KN resources, locale switching, language registry, UiText</t>
        </is>
      </c>
      <c r="C30" s="4" t="inlineStr">
        <is>
          <t>LS-031</t>
        </is>
      </c>
      <c r="D30" s="4" t="inlineStr">
        <is>
          <t>LS-031</t>
        </is>
      </c>
      <c r="E30" s="4" t="inlineStr">
        <is>
          <t>LS-041, LS-042, LS-043, LS-045, LS-046, LS-048, LS-081, LS-150</t>
        </is>
      </c>
      <c r="F30" s="4" t="inlineStr">
        <is>
          <t>After deps</t>
        </is>
      </c>
      <c r="G30" s="4" t="inlineStr">
        <is>
          <t>locales_config.xml, SupportedLanguage.kt</t>
        </is>
      </c>
      <c r="H30" s="4" t="inlineStr">
        <is>
          <t>:core:common / :core:ui</t>
        </is>
      </c>
      <c r="I30" s="4" t="inlineStr">
        <is>
          <t>High</t>
        </is>
      </c>
      <c r="J30" s="4" t="inlineStr">
        <is>
          <t>P2 exit: Build + tests + lint green</t>
        </is>
      </c>
      <c r="K30" s="4" t="inlineStr">
        <is>
          <t>Single owner; run sequentially; own worktree off latest development</t>
        </is>
      </c>
      <c r="L30" s="4" t="inlineStr">
        <is>
          <t>Deps merged to development; Approval C</t>
        </is>
      </c>
      <c r="M30" s="4" t="inlineStr">
        <is>
          <t>DoD met; PR merged by owner; post-merge verification passed</t>
        </is>
      </c>
    </row>
    <row r="31" ht="31" customHeight="1">
      <c r="A31" s="17" t="inlineStr">
        <is>
          <t>LS-041</t>
        </is>
      </c>
      <c r="B31" s="4" t="inlineStr">
        <is>
          <t>Translation completeness check (key &amp; format-arg parity) in Gradle/CI</t>
        </is>
      </c>
      <c r="C31" s="4" t="inlineStr">
        <is>
          <t>LS-040</t>
        </is>
      </c>
      <c r="D31" s="4" t="inlineStr">
        <is>
          <t>LS-040</t>
        </is>
      </c>
      <c r="E31" s="4" t="inlineStr">
        <is>
          <t>LS-048, LS-130</t>
        </is>
      </c>
      <c r="F31" s="4" t="inlineStr">
        <is>
          <t>After deps</t>
        </is>
      </c>
      <c r="G31" s="4" t="inlineStr">
        <is>
          <t>–</t>
        </is>
      </c>
      <c r="H31" s="4" t="inlineStr">
        <is>
          <t>Build</t>
        </is>
      </c>
      <c r="I31" s="4" t="inlineStr">
        <is>
          <t>Low</t>
        </is>
      </c>
      <c r="J31" s="4" t="inlineStr">
        <is>
          <t>P2 exit: Build + tests + lint green</t>
        </is>
      </c>
      <c r="K31" s="4" t="inlineStr">
        <is>
          <t>Own branch/worktree off development; rebase after dependency merges</t>
        </is>
      </c>
      <c r="L31" s="4" t="inlineStr">
        <is>
          <t>Deps merged to development; Approval C</t>
        </is>
      </c>
      <c r="M31" s="4" t="inlineStr">
        <is>
          <t>DoD met; PR merged by owner; post-merge verification passed</t>
        </is>
      </c>
    </row>
    <row r="32" ht="31" customHeight="1">
      <c r="A32" s="17" t="inlineStr">
        <is>
          <t>LS-042</t>
        </is>
      </c>
      <c r="B32" s="4" t="inlineStr">
        <is>
          <t>Pseudo-locales &amp; RTL readiness</t>
        </is>
      </c>
      <c r="C32" s="4" t="inlineStr">
        <is>
          <t>LS-040</t>
        </is>
      </c>
      <c r="D32" s="4" t="inlineStr">
        <is>
          <t>LS-040</t>
        </is>
      </c>
      <c r="E32" s="4" t="inlineStr">
        <is>
          <t>–</t>
        </is>
      </c>
      <c r="F32" s="4" t="inlineStr">
        <is>
          <t>Yes</t>
        </is>
      </c>
      <c r="G32" s="4" t="inlineStr">
        <is>
          <t>–</t>
        </is>
      </c>
      <c r="H32" s="4" t="inlineStr">
        <is>
          <t>:app</t>
        </is>
      </c>
      <c r="I32" s="4" t="inlineStr">
        <is>
          <t>Low</t>
        </is>
      </c>
      <c r="J32" s="4" t="inlineStr">
        <is>
          <t>P2 exit: Build + tests + lint green</t>
        </is>
      </c>
      <c r="K32" s="4" t="inlineStr">
        <is>
          <t>Own branch/worktree off development; rebase after dependency merges</t>
        </is>
      </c>
      <c r="L32" s="4" t="inlineStr">
        <is>
          <t>Deps merged to development; Approval C</t>
        </is>
      </c>
      <c r="M32" s="4" t="inlineStr">
        <is>
          <t>DoD met; PR merged by owner; post-merge verification passed</t>
        </is>
      </c>
    </row>
    <row r="33" ht="31" customHeight="1">
      <c r="A33" s="17" t="inlineStr">
        <is>
          <t>LS-043</t>
        </is>
      </c>
      <c r="B33" s="4" t="inlineStr">
        <is>
          <t>Kannada UI strings (draft) + glossary</t>
        </is>
      </c>
      <c r="C33" s="4" t="inlineStr">
        <is>
          <t>LS-040</t>
        </is>
      </c>
      <c r="D33" s="4" t="inlineStr">
        <is>
          <t>LS-040</t>
        </is>
      </c>
      <c r="E33" s="4" t="inlineStr">
        <is>
          <t>LS-047</t>
        </is>
      </c>
      <c r="F33" s="4" t="inlineStr">
        <is>
          <t>Yes</t>
        </is>
      </c>
      <c r="G33" s="4" t="inlineStr">
        <is>
          <t>–</t>
        </is>
      </c>
      <c r="H33" s="4" t="inlineStr">
        <is>
          <t>Resources</t>
        </is>
      </c>
      <c r="I33" s="4" t="inlineStr">
        <is>
          <t>Low</t>
        </is>
      </c>
      <c r="J33" s="4" t="inlineStr">
        <is>
          <t>P6 exit: Journeys E, G verified</t>
        </is>
      </c>
      <c r="K33" s="4" t="inlineStr">
        <is>
          <t>Own branch/worktree off development; rebase after dependency merges</t>
        </is>
      </c>
      <c r="L33" s="4" t="inlineStr">
        <is>
          <t>Deps merged to development; Approval C</t>
        </is>
      </c>
      <c r="M33" s="4" t="inlineStr">
        <is>
          <t>DoD met; PR merged by owner; post-merge verification passed</t>
        </is>
      </c>
    </row>
    <row r="34" ht="31" customHeight="1">
      <c r="A34" s="17" t="inlineStr">
        <is>
          <t>LS-044</t>
        </is>
      </c>
      <c r="B34" s="4" t="inlineStr">
        <is>
          <t>Kannada mock story content</t>
        </is>
      </c>
      <c r="C34" s="4" t="inlineStr">
        <is>
          <t>LS-036</t>
        </is>
      </c>
      <c r="D34" s="4" t="inlineStr">
        <is>
          <t>LS-036</t>
        </is>
      </c>
      <c r="E34" s="4" t="inlineStr">
        <is>
          <t>LS-047</t>
        </is>
      </c>
      <c r="F34" s="4" t="inlineStr">
        <is>
          <t>Yes</t>
        </is>
      </c>
      <c r="G34" s="4" t="inlineStr">
        <is>
          <t>–</t>
        </is>
      </c>
      <c r="H34" s="4" t="inlineStr">
        <is>
          <t>:data assets</t>
        </is>
      </c>
      <c r="I34" s="4" t="inlineStr">
        <is>
          <t>Low</t>
        </is>
      </c>
      <c r="J34" s="4" t="inlineStr">
        <is>
          <t>P4 exit: Journeys B, C verified</t>
        </is>
      </c>
      <c r="K34" s="4" t="inlineStr">
        <is>
          <t>Own branch/worktree off development; rebase after dependency merges</t>
        </is>
      </c>
      <c r="L34" s="4" t="inlineStr">
        <is>
          <t>Deps merged to development; Approval C</t>
        </is>
      </c>
      <c r="M34" s="4" t="inlineStr">
        <is>
          <t>DoD met; PR merged by owner; post-merge verification passed</t>
        </is>
      </c>
    </row>
    <row r="35" ht="31" customHeight="1">
      <c r="A35" s="17" t="inlineStr">
        <is>
          <t>LS-045</t>
        </is>
      </c>
      <c r="B35" s="4" t="inlineStr">
        <is>
          <t>Language selection in Setup (registry-driven)</t>
        </is>
      </c>
      <c r="C35" s="4" t="inlineStr">
        <is>
          <t>LS-040, LS-061</t>
        </is>
      </c>
      <c r="D35" s="4" t="inlineStr">
        <is>
          <t>LS-061</t>
        </is>
      </c>
      <c r="E35" s="4" t="inlineStr">
        <is>
          <t>–</t>
        </is>
      </c>
      <c r="F35" s="4" t="inlineStr">
        <is>
          <t>After deps</t>
        </is>
      </c>
      <c r="G35" s="4" t="inlineStr">
        <is>
          <t>–</t>
        </is>
      </c>
      <c r="H35" s="4" t="inlineStr">
        <is>
          <t>:feature:onboarding</t>
        </is>
      </c>
      <c r="I35" s="4" t="inlineStr">
        <is>
          <t>Low</t>
        </is>
      </c>
      <c r="J35" s="4" t="inlineStr">
        <is>
          <t>P3 exit: Journey A verified</t>
        </is>
      </c>
      <c r="K35" s="4" t="inlineStr">
        <is>
          <t>Own branch/worktree off development; rebase after dependency merges</t>
        </is>
      </c>
      <c r="L35" s="4" t="inlineStr">
        <is>
          <t>Deps merged to development; Approval C</t>
        </is>
      </c>
      <c r="M35" s="4" t="inlineStr">
        <is>
          <t>DoD met; PR merged by owner; post-merge verification passed</t>
        </is>
      </c>
    </row>
    <row r="36" ht="31" customHeight="1">
      <c r="A36" s="17" t="inlineStr">
        <is>
          <t>LS-046</t>
        </is>
      </c>
      <c r="B36" s="4" t="inlineStr">
        <is>
          <t>Language preferences screen (from Profile)</t>
        </is>
      </c>
      <c r="C36" s="4" t="inlineStr">
        <is>
          <t>LS-004, LS-040, LS-110</t>
        </is>
      </c>
      <c r="D36" s="4" t="inlineStr">
        <is>
          <t>LS-110</t>
        </is>
      </c>
      <c r="E36" s="4" t="inlineStr">
        <is>
          <t>–</t>
        </is>
      </c>
      <c r="F36" s="4" t="inlineStr">
        <is>
          <t>After deps</t>
        </is>
      </c>
      <c r="G36" s="4" t="inlineStr">
        <is>
          <t>–</t>
        </is>
      </c>
      <c r="H36" s="4" t="inlineStr">
        <is>
          <t>:feature:settings</t>
        </is>
      </c>
      <c r="I36" s="4" t="inlineStr">
        <is>
          <t>Low</t>
        </is>
      </c>
      <c r="J36" s="4" t="inlineStr">
        <is>
          <t>P6 exit: Journeys E, G verified</t>
        </is>
      </c>
      <c r="K36" s="4" t="inlineStr">
        <is>
          <t>Own branch/worktree off development; rebase after dependency merges</t>
        </is>
      </c>
      <c r="L36" s="4" t="inlineStr">
        <is>
          <t>Deps merged to development; Approval C</t>
        </is>
      </c>
      <c r="M36" s="4" t="inlineStr">
        <is>
          <t>DoD met; PR merged by owner; post-merge verification passed</t>
        </is>
      </c>
    </row>
    <row r="37" ht="31" customHeight="1">
      <c r="A37" s="17" t="inlineStr">
        <is>
          <t>LS-047</t>
        </is>
      </c>
      <c r="B37" s="4" t="inlineStr">
        <is>
          <t>Native Kannada review &amp; sign-off</t>
        </is>
      </c>
      <c r="C37" s="4" t="inlineStr">
        <is>
          <t>LS-043, LS-044, LS-122</t>
        </is>
      </c>
      <c r="D37" s="4" t="inlineStr">
        <is>
          <t>LS-122</t>
        </is>
      </c>
      <c r="E37" s="4" t="inlineStr">
        <is>
          <t>LS-133</t>
        </is>
      </c>
      <c r="F37" s="4" t="inlineStr">
        <is>
          <t>After deps</t>
        </is>
      </c>
      <c r="G37" s="4" t="inlineStr">
        <is>
          <t>–</t>
        </is>
      </c>
      <c r="H37" s="4" t="inlineStr">
        <is>
          <t>Resources</t>
        </is>
      </c>
      <c r="I37" s="4" t="inlineStr">
        <is>
          <t>Low</t>
        </is>
      </c>
      <c r="J37" s="4" t="inlineStr">
        <is>
          <t>P7 exit: All Must tests pass</t>
        </is>
      </c>
      <c r="K37" s="4" t="inlineStr">
        <is>
          <t>Own branch/worktree off development; rebase after dependency merges</t>
        </is>
      </c>
      <c r="L37" s="4" t="inlineStr">
        <is>
          <t>Deps merged to development; Approval C</t>
        </is>
      </c>
      <c r="M37" s="4" t="inlineStr">
        <is>
          <t>DoD met; PR merged by owner; post-merge verification passed</t>
        </is>
      </c>
    </row>
    <row r="38" ht="31" customHeight="1">
      <c r="A38" s="17" t="inlineStr">
        <is>
          <t>LS-048</t>
        </is>
      </c>
      <c r="B38" s="4" t="inlineStr">
        <is>
          <t>'How to add a new language' guide + prompt</t>
        </is>
      </c>
      <c r="C38" s="4" t="inlineStr">
        <is>
          <t>LS-040, LS-041</t>
        </is>
      </c>
      <c r="D38" s="4" t="inlineStr">
        <is>
          <t>LS-041</t>
        </is>
      </c>
      <c r="E38" s="4" t="inlineStr">
        <is>
          <t>–</t>
        </is>
      </c>
      <c r="F38" s="4" t="inlineStr">
        <is>
          <t>Yes</t>
        </is>
      </c>
      <c r="G38" s="4" t="inlineStr">
        <is>
          <t>–</t>
        </is>
      </c>
      <c r="H38" s="4" t="inlineStr">
        <is>
          <t>Docs</t>
        </is>
      </c>
      <c r="I38" s="4" t="inlineStr">
        <is>
          <t>Low</t>
        </is>
      </c>
      <c r="J38" s="4" t="inlineStr">
        <is>
          <t>P8 exit: Owner sign-off</t>
        </is>
      </c>
      <c r="K38" s="4" t="inlineStr">
        <is>
          <t>Own branch/worktree off development; rebase after dependency merges</t>
        </is>
      </c>
      <c r="L38" s="4" t="inlineStr">
        <is>
          <t>Deps merged to development; Approval B</t>
        </is>
      </c>
      <c r="M38" s="4" t="inlineStr">
        <is>
          <t>DoD met; PR merged by owner; post-merge verification passed</t>
        </is>
      </c>
    </row>
    <row r="39" ht="58" customHeight="1">
      <c r="A39" s="17" t="inlineStr">
        <is>
          <t>LS-050</t>
        </is>
      </c>
      <c r="B39" s="4" t="inlineStr">
        <is>
          <t>Navigation graph with typed routes for all screens</t>
        </is>
      </c>
      <c r="C39" s="4" t="inlineStr">
        <is>
          <t>LS-019, LS-031</t>
        </is>
      </c>
      <c r="D39" s="4" t="inlineStr">
        <is>
          <t>LS-031</t>
        </is>
      </c>
      <c r="E39" s="4" t="inlineStr">
        <is>
          <t>LS-051, LS-052, LS-060, LS-061, LS-070, LS-071, LS-073, LS-074, LS-080, LS-090, LS-110, LS-112</t>
        </is>
      </c>
      <c r="F39" s="4" t="inlineStr">
        <is>
          <t>No</t>
        </is>
      </c>
      <c r="G39" s="4" t="inlineStr">
        <is>
          <t>AppNavHost.kt, Destinations.kt</t>
        </is>
      </c>
      <c r="H39" s="4" t="inlineStr">
        <is>
          <t>:app / navigation</t>
        </is>
      </c>
      <c r="I39" s="4" t="inlineStr">
        <is>
          <t>High</t>
        </is>
      </c>
      <c r="J39" s="4" t="inlineStr">
        <is>
          <t>P3 exit: Journey A verified</t>
        </is>
      </c>
      <c r="K39" s="4" t="inlineStr">
        <is>
          <t>Single owner; run sequentially; own worktree off latest development</t>
        </is>
      </c>
      <c r="L39" s="4" t="inlineStr">
        <is>
          <t>Deps merged to development; Approval C</t>
        </is>
      </c>
      <c r="M39" s="4" t="inlineStr">
        <is>
          <t>DoD met; PR merged by owner; post-merge verification passed</t>
        </is>
      </c>
    </row>
    <row r="40" ht="31" customHeight="1">
      <c r="A40" s="17" t="inlineStr">
        <is>
          <t>LS-051</t>
        </is>
      </c>
      <c r="B40" s="4" t="inlineStr">
        <is>
          <t>Splash screen &amp; first-run routing</t>
        </is>
      </c>
      <c r="C40" s="4" t="inlineStr">
        <is>
          <t>LS-004, LS-050, LS-038</t>
        </is>
      </c>
      <c r="D40" s="4" t="inlineStr">
        <is>
          <t>LS-038</t>
        </is>
      </c>
      <c r="E40" s="4" t="inlineStr">
        <is>
          <t>–</t>
        </is>
      </c>
      <c r="F40" s="4" t="inlineStr">
        <is>
          <t>After deps</t>
        </is>
      </c>
      <c r="G40" s="4" t="inlineStr">
        <is>
          <t>–</t>
        </is>
      </c>
      <c r="H40" s="4" t="inlineStr">
        <is>
          <t>:app</t>
        </is>
      </c>
      <c r="I40" s="4" t="inlineStr">
        <is>
          <t>Low</t>
        </is>
      </c>
      <c r="J40" s="4" t="inlineStr">
        <is>
          <t>P3 exit: Journey A verified</t>
        </is>
      </c>
      <c r="K40" s="4" t="inlineStr">
        <is>
          <t>Own branch/worktree off development; rebase after dependency merges</t>
        </is>
      </c>
      <c r="L40" s="4" t="inlineStr">
        <is>
          <t>Deps merged to development; Approval C</t>
        </is>
      </c>
      <c r="M40" s="4" t="inlineStr">
        <is>
          <t>DoD met; PR merged by owner; post-merge verification passed</t>
        </is>
      </c>
    </row>
    <row r="41" ht="31" customHeight="1">
      <c r="A41" s="17" t="inlineStr">
        <is>
          <t>LS-052</t>
        </is>
      </c>
      <c r="B41" s="4" t="inlineStr">
        <is>
          <t>Edge-to-edge &amp; system bar styling</t>
        </is>
      </c>
      <c r="C41" s="4" t="inlineStr">
        <is>
          <t>LS-050</t>
        </is>
      </c>
      <c r="D41" s="4" t="inlineStr">
        <is>
          <t>LS-050</t>
        </is>
      </c>
      <c r="E41" s="4" t="inlineStr">
        <is>
          <t>–</t>
        </is>
      </c>
      <c r="F41" s="4" t="inlineStr">
        <is>
          <t>After deps</t>
        </is>
      </c>
      <c r="G41" s="4" t="inlineStr">
        <is>
          <t>–</t>
        </is>
      </c>
      <c r="H41" s="4" t="inlineStr">
        <is>
          <t>:core:ui</t>
        </is>
      </c>
      <c r="I41" s="4" t="inlineStr">
        <is>
          <t>Low</t>
        </is>
      </c>
      <c r="J41" s="4" t="inlineStr">
        <is>
          <t>P3 exit: Journey A verified</t>
        </is>
      </c>
      <c r="K41" s="4" t="inlineStr">
        <is>
          <t>Own branch/worktree off development; rebase after dependency merges</t>
        </is>
      </c>
      <c r="L41" s="4" t="inlineStr">
        <is>
          <t>Deps merged to development; Approval C</t>
        </is>
      </c>
      <c r="M41" s="4" t="inlineStr">
        <is>
          <t>DoD met; PR merged by owner; post-merge verification passed</t>
        </is>
      </c>
    </row>
    <row r="42" ht="31" customHeight="1">
      <c r="A42" s="17" t="inlineStr">
        <is>
          <t>LS-060</t>
        </is>
      </c>
      <c r="B42" s="4" t="inlineStr">
        <is>
          <t>Onboarding – 3 slides</t>
        </is>
      </c>
      <c r="C42" s="4" t="inlineStr">
        <is>
          <t>LS-050, LS-017, LS-014</t>
        </is>
      </c>
      <c r="D42" s="4" t="inlineStr">
        <is>
          <t>LS-014</t>
        </is>
      </c>
      <c r="E42" s="4" t="inlineStr">
        <is>
          <t>LS-121, LS-122, LS-123, LS-125, LS-126</t>
        </is>
      </c>
      <c r="F42" s="4" t="inlineStr">
        <is>
          <t>Yes</t>
        </is>
      </c>
      <c r="G42" s="4" t="inlineStr">
        <is>
          <t>–</t>
        </is>
      </c>
      <c r="H42" s="4" t="inlineStr">
        <is>
          <t>:feature:onboarding</t>
        </is>
      </c>
      <c r="I42" s="4" t="inlineStr">
        <is>
          <t>Low</t>
        </is>
      </c>
      <c r="J42" s="4" t="inlineStr">
        <is>
          <t>P3 exit: Journey A verified</t>
        </is>
      </c>
      <c r="K42" s="4" t="inlineStr">
        <is>
          <t>Own branch/worktree off development; rebase after dependency merges</t>
        </is>
      </c>
      <c r="L42" s="4" t="inlineStr">
        <is>
          <t>Deps merged to development; Approval C</t>
        </is>
      </c>
      <c r="M42" s="4" t="inlineStr">
        <is>
          <t>DoD met; PR merged by owner; post-merge verification passed</t>
        </is>
      </c>
    </row>
    <row r="43" ht="31" customHeight="1">
      <c r="A43" s="17" t="inlineStr">
        <is>
          <t>LS-061</t>
        </is>
      </c>
      <c r="B43" s="4" t="inlineStr">
        <is>
          <t>Setup – child profile form</t>
        </is>
      </c>
      <c r="C43" s="4" t="inlineStr">
        <is>
          <t>LS-016, LS-062, LS-050</t>
        </is>
      </c>
      <c r="D43" s="4" t="inlineStr">
        <is>
          <t>LS-050</t>
        </is>
      </c>
      <c r="E43" s="4" t="inlineStr">
        <is>
          <t>LS-045, LS-063, LS-121, LS-122, LS-123, LS-125, LS-126</t>
        </is>
      </c>
      <c r="F43" s="4" t="inlineStr">
        <is>
          <t>After deps</t>
        </is>
      </c>
      <c r="G43" s="4" t="inlineStr">
        <is>
          <t>–</t>
        </is>
      </c>
      <c r="H43" s="4" t="inlineStr">
        <is>
          <t>:feature:onboarding</t>
        </is>
      </c>
      <c r="I43" s="4" t="inlineStr">
        <is>
          <t>Low</t>
        </is>
      </c>
      <c r="J43" s="4" t="inlineStr">
        <is>
          <t>P3 exit: Journey A verified</t>
        </is>
      </c>
      <c r="K43" s="4" t="inlineStr">
        <is>
          <t>Own branch/worktree off development; rebase after dependency merges</t>
        </is>
      </c>
      <c r="L43" s="4" t="inlineStr">
        <is>
          <t>Deps merged to development; Approval C</t>
        </is>
      </c>
      <c r="M43" s="4" t="inlineStr">
        <is>
          <t>DoD met; PR merged by owner; post-merge verification passed</t>
        </is>
      </c>
    </row>
    <row r="44" ht="44.5" customHeight="1">
      <c r="A44" s="17" t="inlineStr">
        <is>
          <t>LS-062</t>
        </is>
      </c>
      <c r="B44" s="4" t="inlineStr">
        <is>
          <t>Profile repository &amp; active-child state</t>
        </is>
      </c>
      <c r="C44" s="4" t="inlineStr">
        <is>
          <t>LS-038</t>
        </is>
      </c>
      <c r="D44" s="4" t="inlineStr">
        <is>
          <t>LS-038</t>
        </is>
      </c>
      <c r="E44" s="4" t="inlineStr">
        <is>
          <t>LS-061, LS-063, LS-070, LS-080, LS-110, LS-121, LS-122, LS-123, LS-125, LS-126</t>
        </is>
      </c>
      <c r="F44" s="4" t="inlineStr">
        <is>
          <t>After deps</t>
        </is>
      </c>
      <c r="G44" s="4" t="inlineStr">
        <is>
          <t>–</t>
        </is>
      </c>
      <c r="H44" s="4" t="inlineStr">
        <is>
          <t>:data</t>
        </is>
      </c>
      <c r="I44" s="4" t="inlineStr">
        <is>
          <t>Low</t>
        </is>
      </c>
      <c r="J44" s="4" t="inlineStr">
        <is>
          <t>P3 exit: Journey A verified</t>
        </is>
      </c>
      <c r="K44" s="4" t="inlineStr">
        <is>
          <t>Own branch/worktree off development; rebase after dependency merges</t>
        </is>
      </c>
      <c r="L44" s="4" t="inlineStr">
        <is>
          <t>Deps merged to development; Approval C</t>
        </is>
      </c>
      <c r="M44" s="4" t="inlineStr">
        <is>
          <t>DoD met; PR merged by owner; post-merge verification passed</t>
        </is>
      </c>
    </row>
    <row r="45" ht="31" customHeight="1">
      <c r="A45" s="17" t="inlineStr">
        <is>
          <t>LS-063</t>
        </is>
      </c>
      <c r="B45" s="4" t="inlineStr">
        <is>
          <t>Child Profiles – list, switch, edit, add</t>
        </is>
      </c>
      <c r="C45" s="4" t="inlineStr">
        <is>
          <t>LS-062, LS-061</t>
        </is>
      </c>
      <c r="D45" s="4" t="inlineStr">
        <is>
          <t>LS-061</t>
        </is>
      </c>
      <c r="E45" s="4" t="inlineStr">
        <is>
          <t>LS-121, LS-122, LS-123, LS-125, LS-126</t>
        </is>
      </c>
      <c r="F45" s="4" t="inlineStr">
        <is>
          <t>Yes</t>
        </is>
      </c>
      <c r="G45" s="4" t="inlineStr">
        <is>
          <t>–</t>
        </is>
      </c>
      <c r="H45" s="4" t="inlineStr">
        <is>
          <t>:feature:profiles</t>
        </is>
      </c>
      <c r="I45" s="4" t="inlineStr">
        <is>
          <t>Low</t>
        </is>
      </c>
      <c r="J45" s="4" t="inlineStr">
        <is>
          <t>P6 exit: Journeys E, G verified</t>
        </is>
      </c>
      <c r="K45" s="4" t="inlineStr">
        <is>
          <t>Own branch/worktree off development; rebase after dependency merges</t>
        </is>
      </c>
      <c r="L45" s="4" t="inlineStr">
        <is>
          <t>Deps merged to development; Approval C</t>
        </is>
      </c>
      <c r="M45" s="4" t="inlineStr">
        <is>
          <t>DoD met; PR merged by owner; post-merge verification passed</t>
        </is>
      </c>
    </row>
    <row r="46" ht="31" customHeight="1">
      <c r="A46" s="17" t="inlineStr">
        <is>
          <t>LS-070</t>
        </is>
      </c>
      <c r="B46" s="4" t="inlineStr">
        <is>
          <t>Home screen</t>
        </is>
      </c>
      <c r="C46" s="4" t="inlineStr">
        <is>
          <t>LS-018, LS-050, LS-062, LS-036</t>
        </is>
      </c>
      <c r="D46" s="4" t="inlineStr">
        <is>
          <t>LS-036</t>
        </is>
      </c>
      <c r="E46" s="4" t="inlineStr">
        <is>
          <t>LS-120, LS-121, LS-122, LS-123, LS-125, LS-126</t>
        </is>
      </c>
      <c r="F46" s="4" t="inlineStr">
        <is>
          <t>After deps</t>
        </is>
      </c>
      <c r="G46" s="4" t="inlineStr">
        <is>
          <t>–</t>
        </is>
      </c>
      <c r="H46" s="4" t="inlineStr">
        <is>
          <t>:feature:home</t>
        </is>
      </c>
      <c r="I46" s="4" t="inlineStr">
        <is>
          <t>Low</t>
        </is>
      </c>
      <c r="J46" s="4" t="inlineStr">
        <is>
          <t>P4 exit: Journeys B, C verified</t>
        </is>
      </c>
      <c r="K46" s="4" t="inlineStr">
        <is>
          <t>Own branch/worktree off development; rebase after dependency merges</t>
        </is>
      </c>
      <c r="L46" s="4" t="inlineStr">
        <is>
          <t>Deps merged to development; Approval C</t>
        </is>
      </c>
      <c r="M46" s="4" t="inlineStr">
        <is>
          <t>DoD met; PR merged by owner; post-merge verification passed</t>
        </is>
      </c>
    </row>
    <row r="47" ht="31" customHeight="1">
      <c r="A47" s="17" t="inlineStr">
        <is>
          <t>LS-071</t>
        </is>
      </c>
      <c r="B47" s="4" t="inlineStr">
        <is>
          <t>Discover – search, featured, filters, grid, rows</t>
        </is>
      </c>
      <c r="C47" s="4" t="inlineStr">
        <is>
          <t>LS-018, LS-016, LS-036, LS-050</t>
        </is>
      </c>
      <c r="D47" s="4" t="inlineStr">
        <is>
          <t>LS-050</t>
        </is>
      </c>
      <c r="E47" s="4" t="inlineStr">
        <is>
          <t>LS-072, LS-120, LS-121, LS-122, LS-123, LS-125, LS-126</t>
        </is>
      </c>
      <c r="F47" s="4" t="inlineStr">
        <is>
          <t>Yes</t>
        </is>
      </c>
      <c r="G47" s="4" t="inlineStr">
        <is>
          <t>–</t>
        </is>
      </c>
      <c r="H47" s="4" t="inlineStr">
        <is>
          <t>:feature:discover</t>
        </is>
      </c>
      <c r="I47" s="4" t="inlineStr">
        <is>
          <t>Low</t>
        </is>
      </c>
      <c r="J47" s="4" t="inlineStr">
        <is>
          <t>P4 exit: Journeys B, C verified</t>
        </is>
      </c>
      <c r="K47" s="4" t="inlineStr">
        <is>
          <t>Own branch/worktree off development; rebase after dependency merges</t>
        </is>
      </c>
      <c r="L47" s="4" t="inlineStr">
        <is>
          <t>Deps merged to development; Approval C</t>
        </is>
      </c>
      <c r="M47" s="4" t="inlineStr">
        <is>
          <t>DoD met; PR merged by owner; post-merge verification passed</t>
        </is>
      </c>
    </row>
    <row r="48" ht="31" customHeight="1">
      <c r="A48" s="17" t="inlineStr">
        <is>
          <t>LS-072</t>
        </is>
      </c>
      <c r="B48" s="4" t="inlineStr">
        <is>
          <t>Discover – no-results empty state</t>
        </is>
      </c>
      <c r="C48" s="4" t="inlineStr">
        <is>
          <t>LS-071, LS-017</t>
        </is>
      </c>
      <c r="D48" s="4" t="inlineStr">
        <is>
          <t>LS-017</t>
        </is>
      </c>
      <c r="E48" s="4" t="inlineStr">
        <is>
          <t>LS-120, LS-121, LS-122, LS-123, LS-125, LS-126</t>
        </is>
      </c>
      <c r="F48" s="4" t="inlineStr">
        <is>
          <t>After deps</t>
        </is>
      </c>
      <c r="G48" s="4" t="inlineStr">
        <is>
          <t>–</t>
        </is>
      </c>
      <c r="H48" s="4" t="inlineStr">
        <is>
          <t>:feature:discover</t>
        </is>
      </c>
      <c r="I48" s="4" t="inlineStr">
        <is>
          <t>Low</t>
        </is>
      </c>
      <c r="J48" s="4" t="inlineStr">
        <is>
          <t>P4 exit: Journeys B, C verified</t>
        </is>
      </c>
      <c r="K48" s="4" t="inlineStr">
        <is>
          <t>Own branch/worktree off development; rebase after dependency merges</t>
        </is>
      </c>
      <c r="L48" s="4" t="inlineStr">
        <is>
          <t>Deps merged to development; Approval C</t>
        </is>
      </c>
      <c r="M48" s="4" t="inlineStr">
        <is>
          <t>DoD met; PR merged by owner; post-merge verification passed</t>
        </is>
      </c>
    </row>
    <row r="49" ht="31" customHeight="1">
      <c r="A49" s="17" t="inlineStr">
        <is>
          <t>LS-073</t>
        </is>
      </c>
      <c r="B49" s="4" t="inlineStr">
        <is>
          <t>Category screen (generic, sortable)</t>
        </is>
      </c>
      <c r="C49" s="4" t="inlineStr">
        <is>
          <t>LS-018, LS-036, LS-050</t>
        </is>
      </c>
      <c r="D49" s="4" t="inlineStr">
        <is>
          <t>LS-050</t>
        </is>
      </c>
      <c r="E49" s="4" t="inlineStr">
        <is>
          <t>LS-120, LS-121, LS-122, LS-123, LS-125, LS-126</t>
        </is>
      </c>
      <c r="F49" s="4" t="inlineStr">
        <is>
          <t>Yes</t>
        </is>
      </c>
      <c r="G49" s="4" t="inlineStr">
        <is>
          <t>–</t>
        </is>
      </c>
      <c r="H49" s="4" t="inlineStr">
        <is>
          <t>:feature:discover</t>
        </is>
      </c>
      <c r="I49" s="4" t="inlineStr">
        <is>
          <t>Low</t>
        </is>
      </c>
      <c r="J49" s="4" t="inlineStr">
        <is>
          <t>P4 exit: Journeys B, C verified</t>
        </is>
      </c>
      <c r="K49" s="4" t="inlineStr">
        <is>
          <t>Own branch/worktree off development; rebase after dependency merges</t>
        </is>
      </c>
      <c r="L49" s="4" t="inlineStr">
        <is>
          <t>Deps merged to development; Approval C</t>
        </is>
      </c>
      <c r="M49" s="4" t="inlineStr">
        <is>
          <t>DoD met; PR merged by owner; post-merge verification passed</t>
        </is>
      </c>
    </row>
    <row r="50" ht="31" customHeight="1">
      <c r="A50" s="17" t="inlineStr">
        <is>
          <t>LS-074</t>
        </is>
      </c>
      <c r="B50" s="4" t="inlineStr">
        <is>
          <t>Story Detail screen</t>
        </is>
      </c>
      <c r="C50" s="4" t="inlineStr">
        <is>
          <t>LS-018, LS-036, LS-050, LS-075</t>
        </is>
      </c>
      <c r="D50" s="4" t="inlineStr">
        <is>
          <t>LS-075</t>
        </is>
      </c>
      <c r="E50" s="4" t="inlineStr">
        <is>
          <t>LS-120, LS-121, LS-122, LS-123, LS-125, LS-126</t>
        </is>
      </c>
      <c r="F50" s="4" t="inlineStr">
        <is>
          <t>Yes</t>
        </is>
      </c>
      <c r="G50" s="4" t="inlineStr">
        <is>
          <t>–</t>
        </is>
      </c>
      <c r="H50" s="4" t="inlineStr">
        <is>
          <t>:feature:storydetails</t>
        </is>
      </c>
      <c r="I50" s="4" t="inlineStr">
        <is>
          <t>Low</t>
        </is>
      </c>
      <c r="J50" s="4" t="inlineStr">
        <is>
          <t>P4 exit: Journeys B, C verified</t>
        </is>
      </c>
      <c r="K50" s="4" t="inlineStr">
        <is>
          <t>Own branch/worktree off development; rebase after dependency merges</t>
        </is>
      </c>
      <c r="L50" s="4" t="inlineStr">
        <is>
          <t>Deps merged to development; Approval C</t>
        </is>
      </c>
      <c r="M50" s="4" t="inlineStr">
        <is>
          <t>DoD met; PR merged by owner; post-merge verification passed</t>
        </is>
      </c>
    </row>
    <row r="51" ht="44.5" customHeight="1">
      <c r="A51" s="17" t="inlineStr">
        <is>
          <t>LS-075</t>
        </is>
      </c>
      <c r="B51" s="4" t="inlineStr">
        <is>
          <t>Favourites (shared, persisted)</t>
        </is>
      </c>
      <c r="C51" s="4" t="inlineStr">
        <is>
          <t>LS-038</t>
        </is>
      </c>
      <c r="D51" s="4" t="inlineStr">
        <is>
          <t>LS-038</t>
        </is>
      </c>
      <c r="E51" s="4" t="inlineStr">
        <is>
          <t>LS-074, LS-100, LS-120, LS-121, LS-122, LS-123, LS-125, LS-126</t>
        </is>
      </c>
      <c r="F51" s="4" t="inlineStr">
        <is>
          <t>After deps</t>
        </is>
      </c>
      <c r="G51" s="4" t="inlineStr">
        <is>
          <t>–</t>
        </is>
      </c>
      <c r="H51" s="4" t="inlineStr">
        <is>
          <t>:data / :domain</t>
        </is>
      </c>
      <c r="I51" s="4" t="inlineStr">
        <is>
          <t>Low</t>
        </is>
      </c>
      <c r="J51" s="4" t="inlineStr">
        <is>
          <t>P4 exit: Journeys B, C verified</t>
        </is>
      </c>
      <c r="K51" s="4" t="inlineStr">
        <is>
          <t>Own branch/worktree off development; rebase after dependency merges</t>
        </is>
      </c>
      <c r="L51" s="4" t="inlineStr">
        <is>
          <t>Deps merged to development; Approval C</t>
        </is>
      </c>
      <c r="M51" s="4" t="inlineStr">
        <is>
          <t>DoD met; PR merged by owner; post-merge verification passed</t>
        </is>
      </c>
    </row>
    <row r="52" ht="31" customHeight="1">
      <c r="A52" s="17" t="inlineStr">
        <is>
          <t>LS-080</t>
        </is>
      </c>
      <c r="B52" s="4" t="inlineStr">
        <is>
          <t>Create a Story – form</t>
        </is>
      </c>
      <c r="C52" s="4" t="inlineStr">
        <is>
          <t>LS-016, LS-062, LS-033, LS-050</t>
        </is>
      </c>
      <c r="D52" s="4" t="inlineStr">
        <is>
          <t>LS-050</t>
        </is>
      </c>
      <c r="E52" s="4" t="inlineStr">
        <is>
          <t>LS-081, LS-120, LS-121, LS-122, LS-123, LS-125, LS-126</t>
        </is>
      </c>
      <c r="F52" s="4" t="inlineStr">
        <is>
          <t>After deps</t>
        </is>
      </c>
      <c r="G52" s="4" t="inlineStr">
        <is>
          <t>–</t>
        </is>
      </c>
      <c r="H52" s="4" t="inlineStr">
        <is>
          <t>:feature:create</t>
        </is>
      </c>
      <c r="I52" s="4" t="inlineStr">
        <is>
          <t>Low</t>
        </is>
      </c>
      <c r="J52" s="4" t="inlineStr">
        <is>
          <t>P4 exit: Journeys B, C verified</t>
        </is>
      </c>
      <c r="K52" s="4" t="inlineStr">
        <is>
          <t>Own branch/worktree off development; rebase after dependency merges</t>
        </is>
      </c>
      <c r="L52" s="4" t="inlineStr">
        <is>
          <t>Deps merged to development; Approval C</t>
        </is>
      </c>
      <c r="M52" s="4" t="inlineStr">
        <is>
          <t>DoD met; PR merged by owner; post-merge verification passed</t>
        </is>
      </c>
    </row>
    <row r="53" ht="31" customHeight="1">
      <c r="A53" s="17" t="inlineStr">
        <is>
          <t>LS-081</t>
        </is>
      </c>
      <c r="B53" s="4" t="inlineStr">
        <is>
          <t>Create – more options &amp; validation</t>
        </is>
      </c>
      <c r="C53" s="4" t="inlineStr">
        <is>
          <t>LS-080, LS-040</t>
        </is>
      </c>
      <c r="D53" s="4" t="inlineStr">
        <is>
          <t>LS-040</t>
        </is>
      </c>
      <c r="E53" s="4" t="inlineStr">
        <is>
          <t>LS-120, LS-121, LS-122, LS-123, LS-125, LS-126</t>
        </is>
      </c>
      <c r="F53" s="4" t="inlineStr">
        <is>
          <t>After deps</t>
        </is>
      </c>
      <c r="G53" s="4" t="inlineStr">
        <is>
          <t>–</t>
        </is>
      </c>
      <c r="H53" s="4" t="inlineStr">
        <is>
          <t>:feature:create</t>
        </is>
      </c>
      <c r="I53" s="4" t="inlineStr">
        <is>
          <t>Low</t>
        </is>
      </c>
      <c r="J53" s="4" t="inlineStr">
        <is>
          <t>P4 exit: Journeys B, C verified</t>
        </is>
      </c>
      <c r="K53" s="4" t="inlineStr">
        <is>
          <t>Own branch/worktree off development; rebase after dependency merges</t>
        </is>
      </c>
      <c r="L53" s="4" t="inlineStr">
        <is>
          <t>Deps merged to development; Approval C</t>
        </is>
      </c>
      <c r="M53" s="4" t="inlineStr">
        <is>
          <t>DoD met; PR merged by owner; post-merge verification passed</t>
        </is>
      </c>
    </row>
    <row r="54" ht="44.5" customHeight="1">
      <c r="A54" s="17" t="inlineStr">
        <is>
          <t>LS-082</t>
        </is>
      </c>
      <c r="B54" s="4" t="inlineStr">
        <is>
          <t>Simulated generation repository &amp; use case</t>
        </is>
      </c>
      <c r="C54" s="4" t="inlineStr">
        <is>
          <t>LS-037, LS-036, LS-033</t>
        </is>
      </c>
      <c r="D54" s="4" t="inlineStr">
        <is>
          <t>LS-033</t>
        </is>
      </c>
      <c r="E54" s="4" t="inlineStr">
        <is>
          <t>LS-083, LS-120, LS-121, LS-122, LS-123, LS-125, LS-126, LS-141</t>
        </is>
      </c>
      <c r="F54" s="4" t="inlineStr">
        <is>
          <t>Yes</t>
        </is>
      </c>
      <c r="G54" s="4" t="inlineStr">
        <is>
          <t>–</t>
        </is>
      </c>
      <c r="H54" s="4" t="inlineStr">
        <is>
          <t>:data / :domain</t>
        </is>
      </c>
      <c r="I54" s="4" t="inlineStr">
        <is>
          <t>Low</t>
        </is>
      </c>
      <c r="J54" s="4" t="inlineStr">
        <is>
          <t>P4 exit: Journeys B, C verified</t>
        </is>
      </c>
      <c r="K54" s="4" t="inlineStr">
        <is>
          <t>Own branch/worktree off development; rebase after dependency merges</t>
        </is>
      </c>
      <c r="L54" s="4" t="inlineStr">
        <is>
          <t>Deps merged to development; Approval C</t>
        </is>
      </c>
      <c r="M54" s="4" t="inlineStr">
        <is>
          <t>DoD met; PR merged by owner; post-merge verification passed</t>
        </is>
      </c>
    </row>
    <row r="55" ht="31" customHeight="1">
      <c r="A55" s="17" t="inlineStr">
        <is>
          <t>LS-083</t>
        </is>
      </c>
      <c r="B55" s="4" t="inlineStr">
        <is>
          <t>Generating screen + paused state</t>
        </is>
      </c>
      <c r="C55" s="4" t="inlineStr">
        <is>
          <t>LS-082, LS-017</t>
        </is>
      </c>
      <c r="D55" s="4" t="inlineStr">
        <is>
          <t>LS-017</t>
        </is>
      </c>
      <c r="E55" s="4" t="inlineStr">
        <is>
          <t>LS-084, LS-120, LS-121, LS-122, LS-123, LS-125, LS-126</t>
        </is>
      </c>
      <c r="F55" s="4" t="inlineStr">
        <is>
          <t>After deps</t>
        </is>
      </c>
      <c r="G55" s="4" t="inlineStr">
        <is>
          <t>–</t>
        </is>
      </c>
      <c r="H55" s="4" t="inlineStr">
        <is>
          <t>:feature:create</t>
        </is>
      </c>
      <c r="I55" s="4" t="inlineStr">
        <is>
          <t>Low</t>
        </is>
      </c>
      <c r="J55" s="4" t="inlineStr">
        <is>
          <t>P4 exit: Journeys B, C verified</t>
        </is>
      </c>
      <c r="K55" s="4" t="inlineStr">
        <is>
          <t>Own branch/worktree off development; rebase after dependency merges</t>
        </is>
      </c>
      <c r="L55" s="4" t="inlineStr">
        <is>
          <t>Deps merged to development; Approval C</t>
        </is>
      </c>
      <c r="M55" s="4" t="inlineStr">
        <is>
          <t>DoD met; PR merged by owner; post-merge verification passed</t>
        </is>
      </c>
    </row>
    <row r="56" ht="31" customHeight="1">
      <c r="A56" s="17" t="inlineStr">
        <is>
          <t>LS-084</t>
        </is>
      </c>
      <c r="B56" s="4" t="inlineStr">
        <is>
          <t>Story Ready screen</t>
        </is>
      </c>
      <c r="C56" s="4" t="inlineStr">
        <is>
          <t>LS-083, LS-018</t>
        </is>
      </c>
      <c r="D56" s="4" t="inlineStr">
        <is>
          <t>LS-018</t>
        </is>
      </c>
      <c r="E56" s="4" t="inlineStr">
        <is>
          <t>LS-120, LS-121, LS-122, LS-123, LS-125, LS-126</t>
        </is>
      </c>
      <c r="F56" s="4" t="inlineStr">
        <is>
          <t>After deps</t>
        </is>
      </c>
      <c r="G56" s="4" t="inlineStr">
        <is>
          <t>–</t>
        </is>
      </c>
      <c r="H56" s="4" t="inlineStr">
        <is>
          <t>:feature:create</t>
        </is>
      </c>
      <c r="I56" s="4" t="inlineStr">
        <is>
          <t>Low</t>
        </is>
      </c>
      <c r="J56" s="4" t="inlineStr">
        <is>
          <t>P4 exit: Journeys B, C verified</t>
        </is>
      </c>
      <c r="K56" s="4" t="inlineStr">
        <is>
          <t>Own branch/worktree off development; rebase after dependency merges</t>
        </is>
      </c>
      <c r="L56" s="4" t="inlineStr">
        <is>
          <t>Deps merged to development; Approval C</t>
        </is>
      </c>
      <c r="M56" s="4" t="inlineStr">
        <is>
          <t>DoD met; PR merged by owner; post-merge verification passed</t>
        </is>
      </c>
    </row>
    <row r="57" ht="31" customHeight="1">
      <c r="A57" s="17" t="inlineStr">
        <is>
          <t>LS-090</t>
        </is>
      </c>
      <c r="B57" s="4" t="inlineStr">
        <is>
          <t>Reader screen</t>
        </is>
      </c>
      <c r="C57" s="4" t="inlineStr">
        <is>
          <t>LS-018, LS-036, LS-050</t>
        </is>
      </c>
      <c r="D57" s="4" t="inlineStr">
        <is>
          <t>LS-050</t>
        </is>
      </c>
      <c r="E57" s="4" t="inlineStr">
        <is>
          <t>LS-120, LS-121, LS-122, LS-123, LS-125, LS-126</t>
        </is>
      </c>
      <c r="F57" s="4" t="inlineStr">
        <is>
          <t>Yes</t>
        </is>
      </c>
      <c r="G57" s="4" t="inlineStr">
        <is>
          <t>–</t>
        </is>
      </c>
      <c r="H57" s="4" t="inlineStr">
        <is>
          <t>:feature:reader</t>
        </is>
      </c>
      <c r="I57" s="4" t="inlineStr">
        <is>
          <t>Low</t>
        </is>
      </c>
      <c r="J57" s="4" t="inlineStr">
        <is>
          <t>P5 exit: Journeys D, F verified</t>
        </is>
      </c>
      <c r="K57" s="4" t="inlineStr">
        <is>
          <t>Own branch/worktree off development; rebase after dependency merges</t>
        </is>
      </c>
      <c r="L57" s="4" t="inlineStr">
        <is>
          <t>Deps merged to development; Approval C</t>
        </is>
      </c>
      <c r="M57" s="4" t="inlineStr">
        <is>
          <t>DoD met; PR merged by owner; post-merge verification passed</t>
        </is>
      </c>
    </row>
    <row r="58" ht="44.5" customHeight="1">
      <c r="A58" s="17" t="inlineStr">
        <is>
          <t>LS-091</t>
        </is>
      </c>
      <c r="B58" s="4" t="inlineStr">
        <is>
          <t>Reading &amp; listening progress persistence</t>
        </is>
      </c>
      <c r="C58" s="4" t="inlineStr">
        <is>
          <t>LS-038</t>
        </is>
      </c>
      <c r="D58" s="4" t="inlineStr">
        <is>
          <t>LS-038</t>
        </is>
      </c>
      <c r="E58" s="4" t="inlineStr">
        <is>
          <t>LS-092, LS-100, LS-120, LS-121, LS-122, LS-123, LS-125, LS-126</t>
        </is>
      </c>
      <c r="F58" s="4" t="inlineStr">
        <is>
          <t>After deps</t>
        </is>
      </c>
      <c r="G58" s="4" t="inlineStr">
        <is>
          <t>–</t>
        </is>
      </c>
      <c r="H58" s="4" t="inlineStr">
        <is>
          <t>:data</t>
        </is>
      </c>
      <c r="I58" s="4" t="inlineStr">
        <is>
          <t>Low</t>
        </is>
      </c>
      <c r="J58" s="4" t="inlineStr">
        <is>
          <t>P5 exit: Journeys D, F verified</t>
        </is>
      </c>
      <c r="K58" s="4" t="inlineStr">
        <is>
          <t>Own branch/worktree off development; rebase after dependency merges</t>
        </is>
      </c>
      <c r="L58" s="4" t="inlineStr">
        <is>
          <t>Deps merged to development; Approval C</t>
        </is>
      </c>
      <c r="M58" s="4" t="inlineStr">
        <is>
          <t>DoD met; PR merged by owner; post-merge verification passed</t>
        </is>
      </c>
    </row>
    <row r="59" ht="44.5" customHeight="1">
      <c r="A59" s="17" t="inlineStr">
        <is>
          <t>LS-092</t>
        </is>
      </c>
      <c r="B59" s="4" t="inlineStr">
        <is>
          <t>Simulated audio player</t>
        </is>
      </c>
      <c r="C59" s="4" t="inlineStr">
        <is>
          <t>LS-018, LS-017, LS-091, LS-033</t>
        </is>
      </c>
      <c r="D59" s="4" t="inlineStr">
        <is>
          <t>LS-033</t>
        </is>
      </c>
      <c r="E59" s="4" t="inlineStr">
        <is>
          <t>LS-093, LS-094, LS-120, LS-121, LS-122, LS-123, LS-125, LS-126</t>
        </is>
      </c>
      <c r="F59" s="4" t="inlineStr">
        <is>
          <t>After deps</t>
        </is>
      </c>
      <c r="G59" s="4" t="inlineStr">
        <is>
          <t>–</t>
        </is>
      </c>
      <c r="H59" s="4" t="inlineStr">
        <is>
          <t>:feature:player</t>
        </is>
      </c>
      <c r="I59" s="4" t="inlineStr">
        <is>
          <t>Low</t>
        </is>
      </c>
      <c r="J59" s="4" t="inlineStr">
        <is>
          <t>P5 exit: Journeys D, F verified</t>
        </is>
      </c>
      <c r="K59" s="4" t="inlineStr">
        <is>
          <t>Own branch/worktree off development; rebase after dependency merges</t>
        </is>
      </c>
      <c r="L59" s="4" t="inlineStr">
        <is>
          <t>Deps merged to development; Approval C</t>
        </is>
      </c>
      <c r="M59" s="4" t="inlineStr">
        <is>
          <t>DoD met; PR merged by owner; post-merge verification passed</t>
        </is>
      </c>
    </row>
    <row r="60" ht="31" customHeight="1">
      <c r="A60" s="17" t="inlineStr">
        <is>
          <t>LS-093</t>
        </is>
      </c>
      <c r="B60" s="4" t="inlineStr">
        <is>
          <t>Sleep timer bottom sheet</t>
        </is>
      </c>
      <c r="C60" s="4" t="inlineStr">
        <is>
          <t>LS-092</t>
        </is>
      </c>
      <c r="D60" s="4" t="inlineStr">
        <is>
          <t>LS-092</t>
        </is>
      </c>
      <c r="E60" s="4" t="inlineStr">
        <is>
          <t>LS-120, LS-121, LS-122, LS-123, LS-125, LS-126</t>
        </is>
      </c>
      <c r="F60" s="4" t="inlineStr">
        <is>
          <t>After deps</t>
        </is>
      </c>
      <c r="G60" s="4" t="inlineStr">
        <is>
          <t>–</t>
        </is>
      </c>
      <c r="H60" s="4" t="inlineStr">
        <is>
          <t>:feature:player</t>
        </is>
      </c>
      <c r="I60" s="4" t="inlineStr">
        <is>
          <t>Low</t>
        </is>
      </c>
      <c r="J60" s="4" t="inlineStr">
        <is>
          <t>P5 exit: Journeys D, F verified</t>
        </is>
      </c>
      <c r="K60" s="4" t="inlineStr">
        <is>
          <t>Own branch/worktree off development; rebase after dependency merges</t>
        </is>
      </c>
      <c r="L60" s="4" t="inlineStr">
        <is>
          <t>Deps merged to development; Approval C</t>
        </is>
      </c>
      <c r="M60" s="4" t="inlineStr">
        <is>
          <t>DoD met; PR merged by owner; post-merge verification passed</t>
        </is>
      </c>
    </row>
    <row r="61" ht="31" customHeight="1">
      <c r="A61" s="17" t="inlineStr">
        <is>
          <t>LS-094</t>
        </is>
      </c>
      <c r="B61" s="4" t="inlineStr">
        <is>
          <t>Fix overlapping 15 s rewind/forward glyphs</t>
        </is>
      </c>
      <c r="C61" s="4" t="inlineStr">
        <is>
          <t>LS-092, LS-013</t>
        </is>
      </c>
      <c r="D61" s="4" t="inlineStr">
        <is>
          <t>LS-013</t>
        </is>
      </c>
      <c r="E61" s="4" t="inlineStr">
        <is>
          <t>LS-120, LS-121, LS-122, LS-123, LS-125, LS-126</t>
        </is>
      </c>
      <c r="F61" s="4" t="inlineStr">
        <is>
          <t>After deps</t>
        </is>
      </c>
      <c r="G61" s="4" t="inlineStr">
        <is>
          <t>–</t>
        </is>
      </c>
      <c r="H61" s="4" t="inlineStr">
        <is>
          <t>:feature:player</t>
        </is>
      </c>
      <c r="I61" s="4" t="inlineStr">
        <is>
          <t>Low</t>
        </is>
      </c>
      <c r="J61" s="4" t="inlineStr">
        <is>
          <t>P5 exit: Journeys D, F verified</t>
        </is>
      </c>
      <c r="K61" s="4" t="inlineStr">
        <is>
          <t>Own branch/worktree off development; rebase after dependency merges</t>
        </is>
      </c>
      <c r="L61" s="4" t="inlineStr">
        <is>
          <t>Deps merged to development; Approval C</t>
        </is>
      </c>
      <c r="M61" s="4" t="inlineStr">
        <is>
          <t>DoD met; PR merged by owner; post-merge verification passed</t>
        </is>
      </c>
    </row>
    <row r="62" ht="31" customHeight="1">
      <c r="A62" s="17" t="inlineStr">
        <is>
          <t>LS-100</t>
        </is>
      </c>
      <c r="B62" s="4" t="inlineStr">
        <is>
          <t>My Stories library</t>
        </is>
      </c>
      <c r="C62" s="4" t="inlineStr">
        <is>
          <t>LS-018, LS-016, LS-075, LS-091</t>
        </is>
      </c>
      <c r="D62" s="4" t="inlineStr">
        <is>
          <t>LS-091</t>
        </is>
      </c>
      <c r="E62" s="4" t="inlineStr">
        <is>
          <t>LS-120, LS-121, LS-122, LS-123, LS-125, LS-126</t>
        </is>
      </c>
      <c r="F62" s="4" t="inlineStr">
        <is>
          <t>After deps</t>
        </is>
      </c>
      <c r="G62" s="4" t="inlineStr">
        <is>
          <t>–</t>
        </is>
      </c>
      <c r="H62" s="4" t="inlineStr">
        <is>
          <t>:feature:library</t>
        </is>
      </c>
      <c r="I62" s="4" t="inlineStr">
        <is>
          <t>Low</t>
        </is>
      </c>
      <c r="J62" s="4" t="inlineStr">
        <is>
          <t>P5 exit: Journeys D, F verified</t>
        </is>
      </c>
      <c r="K62" s="4" t="inlineStr">
        <is>
          <t>Own branch/worktree off development; rebase after dependency merges</t>
        </is>
      </c>
      <c r="L62" s="4" t="inlineStr">
        <is>
          <t>Deps merged to development; Approval C</t>
        </is>
      </c>
      <c r="M62" s="4" t="inlineStr">
        <is>
          <t>DoD met; PR merged by owner; post-merge verification passed</t>
        </is>
      </c>
    </row>
    <row r="63" ht="31" customHeight="1">
      <c r="A63" s="17" t="inlineStr">
        <is>
          <t>LS-101</t>
        </is>
      </c>
      <c r="B63" s="4" t="inlineStr">
        <is>
          <t>Simulated downloads + Offline Downloads screen</t>
        </is>
      </c>
      <c r="C63" s="4" t="inlineStr">
        <is>
          <t>LS-038, LS-018, LS-017</t>
        </is>
      </c>
      <c r="D63" s="4" t="inlineStr">
        <is>
          <t>LS-017</t>
        </is>
      </c>
      <c r="E63" s="4" t="inlineStr">
        <is>
          <t>LS-120, LS-121, LS-122, LS-123, LS-125, LS-126</t>
        </is>
      </c>
      <c r="F63" s="4" t="inlineStr">
        <is>
          <t>Yes</t>
        </is>
      </c>
      <c r="G63" s="4" t="inlineStr">
        <is>
          <t>–</t>
        </is>
      </c>
      <c r="H63" s="4" t="inlineStr">
        <is>
          <t>:feature:library</t>
        </is>
      </c>
      <c r="I63" s="4" t="inlineStr">
        <is>
          <t>Low</t>
        </is>
      </c>
      <c r="J63" s="4" t="inlineStr">
        <is>
          <t>P6 exit: Journeys E, G verified</t>
        </is>
      </c>
      <c r="K63" s="4" t="inlineStr">
        <is>
          <t>Own branch/worktree off development; rebase after dependency merges</t>
        </is>
      </c>
      <c r="L63" s="4" t="inlineStr">
        <is>
          <t>Deps merged to development; Approval C</t>
        </is>
      </c>
      <c r="M63" s="4" t="inlineStr">
        <is>
          <t>DoD met; PR merged by owner; post-merge verification passed</t>
        </is>
      </c>
    </row>
    <row r="64" ht="44.5" customHeight="1">
      <c r="A64" s="17" t="inlineStr">
        <is>
          <t>LS-110</t>
        </is>
      </c>
      <c r="B64" s="4" t="inlineStr">
        <is>
          <t>Profile / settings hub</t>
        </is>
      </c>
      <c r="C64" s="4" t="inlineStr">
        <is>
          <t>LS-016, LS-050, LS-062</t>
        </is>
      </c>
      <c r="D64" s="4" t="inlineStr">
        <is>
          <t>LS-062</t>
        </is>
      </c>
      <c r="E64" s="4" t="inlineStr">
        <is>
          <t>LS-046, LS-111, LS-114, LS-115, LS-120, LS-121, LS-122, LS-123, LS-125, LS-126</t>
        </is>
      </c>
      <c r="F64" s="4" t="inlineStr">
        <is>
          <t>After deps</t>
        </is>
      </c>
      <c r="G64" s="4" t="inlineStr">
        <is>
          <t>–</t>
        </is>
      </c>
      <c r="H64" s="4" t="inlineStr">
        <is>
          <t>:feature:settings</t>
        </is>
      </c>
      <c r="I64" s="4" t="inlineStr">
        <is>
          <t>Low</t>
        </is>
      </c>
      <c r="J64" s="4" t="inlineStr">
        <is>
          <t>P6 exit: Journeys E, G verified</t>
        </is>
      </c>
      <c r="K64" s="4" t="inlineStr">
        <is>
          <t>Own branch/worktree off development; rebase after dependency merges</t>
        </is>
      </c>
      <c r="L64" s="4" t="inlineStr">
        <is>
          <t>Deps merged to development; Approval C</t>
        </is>
      </c>
      <c r="M64" s="4" t="inlineStr">
        <is>
          <t>DoD met; PR merged by owner; post-merge verification passed</t>
        </is>
      </c>
    </row>
    <row r="65" ht="31" customHeight="1">
      <c r="A65" s="17" t="inlineStr">
        <is>
          <t>LS-111</t>
        </is>
      </c>
      <c r="B65" s="4" t="inlineStr">
        <is>
          <t>Bedtime Reminder settings</t>
        </is>
      </c>
      <c r="C65" s="4" t="inlineStr">
        <is>
          <t>LS-110, LS-038, LS-004</t>
        </is>
      </c>
      <c r="D65" s="4" t="inlineStr">
        <is>
          <t>LS-004</t>
        </is>
      </c>
      <c r="E65" s="4" t="inlineStr">
        <is>
          <t>LS-120, LS-121, LS-122, LS-123, LS-125, LS-126</t>
        </is>
      </c>
      <c r="F65" s="4" t="inlineStr">
        <is>
          <t>Yes</t>
        </is>
      </c>
      <c r="G65" s="4" t="inlineStr">
        <is>
          <t>–</t>
        </is>
      </c>
      <c r="H65" s="4" t="inlineStr">
        <is>
          <t>:feature:settings</t>
        </is>
      </c>
      <c r="I65" s="4" t="inlineStr">
        <is>
          <t>Low</t>
        </is>
      </c>
      <c r="J65" s="4" t="inlineStr">
        <is>
          <t>P6 exit: Journeys E, G verified</t>
        </is>
      </c>
      <c r="K65" s="4" t="inlineStr">
        <is>
          <t>Own branch/worktree off development; rebase after dependency merges</t>
        </is>
      </c>
      <c r="L65" s="4" t="inlineStr">
        <is>
          <t>Deps merged to development; Approval C</t>
        </is>
      </c>
      <c r="M65" s="4" t="inlineStr">
        <is>
          <t>DoD met; PR merged by owner; post-merge verification passed</t>
        </is>
      </c>
    </row>
    <row r="66" ht="31" customHeight="1">
      <c r="A66" s="17" t="inlineStr">
        <is>
          <t>LS-112</t>
        </is>
      </c>
      <c r="B66" s="4" t="inlineStr">
        <is>
          <t>Notifications inbox (mock)</t>
        </is>
      </c>
      <c r="C66" s="4" t="inlineStr">
        <is>
          <t>LS-050, LS-036</t>
        </is>
      </c>
      <c r="D66" s="4" t="inlineStr">
        <is>
          <t>LS-036</t>
        </is>
      </c>
      <c r="E66" s="4" t="inlineStr">
        <is>
          <t>LS-120, LS-121, LS-122, LS-123, LS-125, LS-126</t>
        </is>
      </c>
      <c r="F66" s="4" t="inlineStr">
        <is>
          <t>Yes</t>
        </is>
      </c>
      <c r="G66" s="4" t="inlineStr">
        <is>
          <t>–</t>
        </is>
      </c>
      <c r="H66" s="4" t="inlineStr">
        <is>
          <t>:feature:notifications</t>
        </is>
      </c>
      <c r="I66" s="4" t="inlineStr">
        <is>
          <t>Low</t>
        </is>
      </c>
      <c r="J66" s="4" t="inlineStr">
        <is>
          <t>P6 exit: Journeys E, G verified</t>
        </is>
      </c>
      <c r="K66" s="4" t="inlineStr">
        <is>
          <t>Own branch/worktree off development; rebase after dependency merges</t>
        </is>
      </c>
      <c r="L66" s="4" t="inlineStr">
        <is>
          <t>Deps merged to development; Approval C</t>
        </is>
      </c>
      <c r="M66" s="4" t="inlineStr">
        <is>
          <t>DoD met; PR merged by owner; post-merge verification passed</t>
        </is>
      </c>
    </row>
    <row r="67" ht="31" customHeight="1">
      <c r="A67" s="17" t="inlineStr">
        <is>
          <t>LS-113</t>
        </is>
      </c>
      <c r="B67" s="4" t="inlineStr">
        <is>
          <t>Demo subscription (feature-flagged) + dialog</t>
        </is>
      </c>
      <c r="C67" s="4" t="inlineStr">
        <is>
          <t>LS-017, LS-033, LS-004</t>
        </is>
      </c>
      <c r="D67" s="4" t="inlineStr">
        <is>
          <t>LS-004</t>
        </is>
      </c>
      <c r="E67" s="4" t="inlineStr">
        <is>
          <t>LS-120, LS-121, LS-122, LS-123, LS-125, LS-126</t>
        </is>
      </c>
      <c r="F67" s="4" t="inlineStr">
        <is>
          <t>Yes</t>
        </is>
      </c>
      <c r="G67" s="4" t="inlineStr">
        <is>
          <t>–</t>
        </is>
      </c>
      <c r="H67" s="4" t="inlineStr">
        <is>
          <t>:feature:subscription</t>
        </is>
      </c>
      <c r="I67" s="4" t="inlineStr">
        <is>
          <t>Low</t>
        </is>
      </c>
      <c r="J67" s="4" t="inlineStr">
        <is>
          <t>P6 exit: Journeys E, G verified</t>
        </is>
      </c>
      <c r="K67" s="4" t="inlineStr">
        <is>
          <t>Own branch/worktree off development; rebase after dependency merges</t>
        </is>
      </c>
      <c r="L67" s="4" t="inlineStr">
        <is>
          <t>Deps merged to development; Approval C</t>
        </is>
      </c>
      <c r="M67" s="4" t="inlineStr">
        <is>
          <t>DoD met; PR merged by owner; post-merge verification passed</t>
        </is>
      </c>
    </row>
    <row r="68" ht="31" customHeight="1">
      <c r="A68" s="17" t="inlineStr">
        <is>
          <t>LS-114</t>
        </is>
      </c>
      <c r="B68" s="4" t="inlineStr">
        <is>
          <t>Privacy &amp; parent controls screen</t>
        </is>
      </c>
      <c r="C68" s="4" t="inlineStr">
        <is>
          <t>LS-004, LS-110</t>
        </is>
      </c>
      <c r="D68" s="4" t="inlineStr">
        <is>
          <t>LS-110</t>
        </is>
      </c>
      <c r="E68" s="4" t="inlineStr">
        <is>
          <t>LS-126</t>
        </is>
      </c>
      <c r="F68" s="4" t="inlineStr">
        <is>
          <t>After deps</t>
        </is>
      </c>
      <c r="G68" s="4" t="inlineStr">
        <is>
          <t>–</t>
        </is>
      </c>
      <c r="H68" s="4" t="inlineStr">
        <is>
          <t>:feature:settings</t>
        </is>
      </c>
      <c r="I68" s="4" t="inlineStr">
        <is>
          <t>Low</t>
        </is>
      </c>
      <c r="J68" s="4" t="inlineStr">
        <is>
          <t>P6 exit: Journeys E, G verified</t>
        </is>
      </c>
      <c r="K68" s="4" t="inlineStr">
        <is>
          <t>Own branch/worktree off development; rebase after dependency merges</t>
        </is>
      </c>
      <c r="L68" s="4" t="inlineStr">
        <is>
          <t>Deps merged to development; Approval C</t>
        </is>
      </c>
      <c r="M68" s="4" t="inlineStr">
        <is>
          <t>DoD met; PR merged by owner; post-merge verification passed</t>
        </is>
      </c>
    </row>
    <row r="69" ht="31" customHeight="1">
      <c r="A69" s="17" t="inlineStr">
        <is>
          <t>LS-115</t>
        </is>
      </c>
      <c r="B69" s="4" t="inlineStr">
        <is>
          <t>Help &amp; about screen</t>
        </is>
      </c>
      <c r="C69" s="4" t="inlineStr">
        <is>
          <t>LS-004, LS-110</t>
        </is>
      </c>
      <c r="D69" s="4" t="inlineStr">
        <is>
          <t>LS-110</t>
        </is>
      </c>
      <c r="E69" s="4" t="inlineStr">
        <is>
          <t>LS-126</t>
        </is>
      </c>
      <c r="F69" s="4" t="inlineStr">
        <is>
          <t>After deps</t>
        </is>
      </c>
      <c r="G69" s="4" t="inlineStr">
        <is>
          <t>–</t>
        </is>
      </c>
      <c r="H69" s="4" t="inlineStr">
        <is>
          <t>:feature:settings</t>
        </is>
      </c>
      <c r="I69" s="4" t="inlineStr">
        <is>
          <t>Low</t>
        </is>
      </c>
      <c r="J69" s="4" t="inlineStr">
        <is>
          <t>P6 exit: Journeys E, G verified</t>
        </is>
      </c>
      <c r="K69" s="4" t="inlineStr">
        <is>
          <t>Own branch/worktree off development; rebase after dependency merges</t>
        </is>
      </c>
      <c r="L69" s="4" t="inlineStr">
        <is>
          <t>Deps merged to development; Approval C</t>
        </is>
      </c>
      <c r="M69" s="4" t="inlineStr">
        <is>
          <t>DoD met; PR merged by owner; post-merge verification passed</t>
        </is>
      </c>
    </row>
    <row r="70" ht="31" customHeight="1">
      <c r="A70" s="17" t="inlineStr">
        <is>
          <t>LS-120</t>
        </is>
      </c>
      <c r="B70" s="4" t="inlineStr">
        <is>
          <t>Unit-test coverage gate for ViewModels &amp; use cases</t>
        </is>
      </c>
      <c r="C70" s="4" t="inlineStr">
        <is>
          <t>LS-070…LS-113</t>
        </is>
      </c>
      <c r="D70" s="4" t="inlineStr">
        <is>
          <t>LS-113</t>
        </is>
      </c>
      <c r="E70" s="4" t="inlineStr">
        <is>
          <t>–</t>
        </is>
      </c>
      <c r="F70" s="4" t="inlineStr">
        <is>
          <t>After deps</t>
        </is>
      </c>
      <c r="G70" s="4" t="inlineStr">
        <is>
          <t>–</t>
        </is>
      </c>
      <c r="H70" s="4" t="inlineStr">
        <is>
          <t>All</t>
        </is>
      </c>
      <c r="I70" s="4" t="inlineStr">
        <is>
          <t>Low</t>
        </is>
      </c>
      <c r="J70" s="4" t="inlineStr">
        <is>
          <t>P7 exit: All Must tests pass</t>
        </is>
      </c>
      <c r="K70" s="4" t="inlineStr">
        <is>
          <t>Own branch/worktree off development; rebase after dependency merges</t>
        </is>
      </c>
      <c r="L70" s="4" t="inlineStr">
        <is>
          <t>Deps merged to development; Approval C</t>
        </is>
      </c>
      <c r="M70" s="4" t="inlineStr">
        <is>
          <t>DoD met; PR merged by owner; post-merge verification passed</t>
        </is>
      </c>
    </row>
    <row r="71" ht="31" customHeight="1">
      <c r="A71" s="17" t="inlineStr">
        <is>
          <t>LS-121</t>
        </is>
      </c>
      <c r="B71" s="4" t="inlineStr">
        <is>
          <t>End-to-end journey tests A–G (EN &amp; KN)</t>
        </is>
      </c>
      <c r="C71" s="4" t="inlineStr">
        <is>
          <t>LS-060…LS-113</t>
        </is>
      </c>
      <c r="D71" s="4" t="inlineStr">
        <is>
          <t>LS-113</t>
        </is>
      </c>
      <c r="E71" s="4" t="inlineStr">
        <is>
          <t>LS-133</t>
        </is>
      </c>
      <c r="F71" s="4" t="inlineStr">
        <is>
          <t>After deps</t>
        </is>
      </c>
      <c r="G71" s="4" t="inlineStr">
        <is>
          <t>–</t>
        </is>
      </c>
      <c r="H71" s="4" t="inlineStr">
        <is>
          <t>All</t>
        </is>
      </c>
      <c r="I71" s="4" t="inlineStr">
        <is>
          <t>Low</t>
        </is>
      </c>
      <c r="J71" s="4" t="inlineStr">
        <is>
          <t>P7 exit: All Must tests pass</t>
        </is>
      </c>
      <c r="K71" s="4" t="inlineStr">
        <is>
          <t>Own branch/worktree off development; rebase after dependency merges</t>
        </is>
      </c>
      <c r="L71" s="4" t="inlineStr">
        <is>
          <t>Deps merged to development; Approval C</t>
        </is>
      </c>
      <c r="M71" s="4" t="inlineStr">
        <is>
          <t>DoD met; PR merged by owner; post-merge verification passed</t>
        </is>
      </c>
    </row>
    <row r="72" ht="31" customHeight="1">
      <c r="A72" s="17" t="inlineStr">
        <is>
          <t>LS-122</t>
        </is>
      </c>
      <c r="B72" s="4" t="inlineStr">
        <is>
          <t>Screenshot regression suite – 22 design states × EN/KN</t>
        </is>
      </c>
      <c r="C72" s="4" t="inlineStr">
        <is>
          <t>LS-035, LS-060…LS-113</t>
        </is>
      </c>
      <c r="D72" s="4" t="inlineStr">
        <is>
          <t>LS-035</t>
        </is>
      </c>
      <c r="E72" s="4" t="inlineStr">
        <is>
          <t>LS-047, LS-124, LS-133</t>
        </is>
      </c>
      <c r="F72" s="4" t="inlineStr">
        <is>
          <t>After deps</t>
        </is>
      </c>
      <c r="G72" s="4" t="inlineStr">
        <is>
          <t>–</t>
        </is>
      </c>
      <c r="H72" s="4" t="inlineStr">
        <is>
          <t>All</t>
        </is>
      </c>
      <c r="I72" s="4" t="inlineStr">
        <is>
          <t>Low</t>
        </is>
      </c>
      <c r="J72" s="4" t="inlineStr">
        <is>
          <t>P7 exit: All Must tests pass</t>
        </is>
      </c>
      <c r="K72" s="4" t="inlineStr">
        <is>
          <t>Own branch/worktree off development; rebase after dependency merges</t>
        </is>
      </c>
      <c r="L72" s="4" t="inlineStr">
        <is>
          <t>Deps merged to development; Approval C</t>
        </is>
      </c>
      <c r="M72" s="4" t="inlineStr">
        <is>
          <t>DoD met; PR merged by owner; post-merge verification passed</t>
        </is>
      </c>
    </row>
    <row r="73" ht="31" customHeight="1">
      <c r="A73" s="17" t="inlineStr">
        <is>
          <t>LS-123</t>
        </is>
      </c>
      <c r="B73" s="4" t="inlineStr">
        <is>
          <t>Accessibility audit &amp; fixes</t>
        </is>
      </c>
      <c r="C73" s="4" t="inlineStr">
        <is>
          <t>LS-060…LS-113</t>
        </is>
      </c>
      <c r="D73" s="4" t="inlineStr">
        <is>
          <t>LS-113</t>
        </is>
      </c>
      <c r="E73" s="4" t="inlineStr">
        <is>
          <t>LS-133</t>
        </is>
      </c>
      <c r="F73" s="4" t="inlineStr">
        <is>
          <t>After deps</t>
        </is>
      </c>
      <c r="G73" s="4" t="inlineStr">
        <is>
          <t>–</t>
        </is>
      </c>
      <c r="H73" s="4" t="inlineStr">
        <is>
          <t>All</t>
        </is>
      </c>
      <c r="I73" s="4" t="inlineStr">
        <is>
          <t>Low</t>
        </is>
      </c>
      <c r="J73" s="4" t="inlineStr">
        <is>
          <t>P7 exit: All Must tests pass</t>
        </is>
      </c>
      <c r="K73" s="4" t="inlineStr">
        <is>
          <t>Own branch/worktree off development; rebase after dependency merges</t>
        </is>
      </c>
      <c r="L73" s="4" t="inlineStr">
        <is>
          <t>Deps merged to development; Approval C</t>
        </is>
      </c>
      <c r="M73" s="4" t="inlineStr">
        <is>
          <t>DoD met; PR merged by owner; post-merge verification passed</t>
        </is>
      </c>
    </row>
    <row r="74" ht="31" customHeight="1">
      <c r="A74" s="17" t="inlineStr">
        <is>
          <t>LS-124</t>
        </is>
      </c>
      <c r="B74" s="4" t="inlineStr">
        <is>
          <t>Visual fidelity review vs design pack</t>
        </is>
      </c>
      <c r="C74" s="4" t="inlineStr">
        <is>
          <t>LS-122</t>
        </is>
      </c>
      <c r="D74" s="4" t="inlineStr">
        <is>
          <t>LS-122</t>
        </is>
      </c>
      <c r="E74" s="4" t="inlineStr">
        <is>
          <t>–</t>
        </is>
      </c>
      <c r="F74" s="4" t="inlineStr">
        <is>
          <t>After deps</t>
        </is>
      </c>
      <c r="G74" s="4" t="inlineStr">
        <is>
          <t>–</t>
        </is>
      </c>
      <c r="H74" s="4" t="inlineStr">
        <is>
          <t>All</t>
        </is>
      </c>
      <c r="I74" s="4" t="inlineStr">
        <is>
          <t>Low</t>
        </is>
      </c>
      <c r="J74" s="4" t="inlineStr">
        <is>
          <t>P7 exit: All Must tests pass</t>
        </is>
      </c>
      <c r="K74" s="4" t="inlineStr">
        <is>
          <t>Own branch/worktree off development; rebase after dependency merges</t>
        </is>
      </c>
      <c r="L74" s="4" t="inlineStr">
        <is>
          <t>Deps merged to development; Approval C</t>
        </is>
      </c>
      <c r="M74" s="4" t="inlineStr">
        <is>
          <t>DoD met; PR merged by owner; post-merge verification passed</t>
        </is>
      </c>
    </row>
    <row r="75" ht="31" customHeight="1">
      <c r="A75" s="17" t="inlineStr">
        <is>
          <t>LS-125</t>
        </is>
      </c>
      <c r="B75" s="4" t="inlineStr">
        <is>
          <t>Maintainability review – hardcoded values audit</t>
        </is>
      </c>
      <c r="C75" s="4" t="inlineStr">
        <is>
          <t>LS-034, LS-060…LS-113</t>
        </is>
      </c>
      <c r="D75" s="4" t="inlineStr">
        <is>
          <t>LS-034</t>
        </is>
      </c>
      <c r="E75" s="4" t="inlineStr">
        <is>
          <t>–</t>
        </is>
      </c>
      <c r="F75" s="4" t="inlineStr">
        <is>
          <t>After deps</t>
        </is>
      </c>
      <c r="G75" s="4" t="inlineStr">
        <is>
          <t>–</t>
        </is>
      </c>
      <c r="H75" s="4" t="inlineStr">
        <is>
          <t>All</t>
        </is>
      </c>
      <c r="I75" s="4" t="inlineStr">
        <is>
          <t>Low</t>
        </is>
      </c>
      <c r="J75" s="4" t="inlineStr">
        <is>
          <t>P7 exit: All Must tests pass</t>
        </is>
      </c>
      <c r="K75" s="4" t="inlineStr">
        <is>
          <t>Own branch/worktree off development; rebase after dependency merges</t>
        </is>
      </c>
      <c r="L75" s="4" t="inlineStr">
        <is>
          <t>Deps merged to development; Approval C</t>
        </is>
      </c>
      <c r="M75" s="4" t="inlineStr">
        <is>
          <t>DoD met; PR merged by owner; post-merge verification passed</t>
        </is>
      </c>
    </row>
    <row r="76" ht="31" customHeight="1">
      <c r="A76" s="17" t="inlineStr">
        <is>
          <t>LS-126</t>
        </is>
      </c>
      <c r="B76" s="4" t="inlineStr">
        <is>
          <t>Security &amp; privacy review + threat model</t>
        </is>
      </c>
      <c r="C76" s="4" t="inlineStr">
        <is>
          <t>LS-060…LS-115</t>
        </is>
      </c>
      <c r="D76" s="4" t="inlineStr">
        <is>
          <t>LS-115</t>
        </is>
      </c>
      <c r="E76" s="4" t="inlineStr">
        <is>
          <t>LS-133</t>
        </is>
      </c>
      <c r="F76" s="4" t="inlineStr">
        <is>
          <t>After deps</t>
        </is>
      </c>
      <c r="G76" s="4" t="inlineStr">
        <is>
          <t>–</t>
        </is>
      </c>
      <c r="H76" s="4" t="inlineStr">
        <is>
          <t>All</t>
        </is>
      </c>
      <c r="I76" s="4" t="inlineStr">
        <is>
          <t>Low</t>
        </is>
      </c>
      <c r="J76" s="4" t="inlineStr">
        <is>
          <t>P7 exit: All Must tests pass</t>
        </is>
      </c>
      <c r="K76" s="4" t="inlineStr">
        <is>
          <t>Own branch/worktree off development; rebase after dependency merges</t>
        </is>
      </c>
      <c r="L76" s="4" t="inlineStr">
        <is>
          <t>Deps merged to development; Approval C</t>
        </is>
      </c>
      <c r="M76" s="4" t="inlineStr">
        <is>
          <t>DoD met; PR merged by owner; post-merge verification passed</t>
        </is>
      </c>
    </row>
    <row r="77" ht="31" customHeight="1">
      <c r="A77" s="17" t="inlineStr">
        <is>
          <t>LS-130</t>
        </is>
      </c>
      <c r="B77" s="4" t="inlineStr">
        <is>
          <t>GitHub Actions PR workflow</t>
        </is>
      </c>
      <c r="C77" s="4" t="inlineStr">
        <is>
          <t>LS-030, LS-034, LS-041</t>
        </is>
      </c>
      <c r="D77" s="4" t="inlineStr">
        <is>
          <t>LS-041</t>
        </is>
      </c>
      <c r="E77" s="4" t="inlineStr">
        <is>
          <t>–</t>
        </is>
      </c>
      <c r="F77" s="4" t="inlineStr">
        <is>
          <t>After deps</t>
        </is>
      </c>
      <c r="G77" s="4" t="inlineStr">
        <is>
          <t>.github/workflows/ci.yml</t>
        </is>
      </c>
      <c r="H77" s="4" t="inlineStr">
        <is>
          <t>.github/workflows</t>
        </is>
      </c>
      <c r="I77" s="4" t="inlineStr">
        <is>
          <t>Medium</t>
        </is>
      </c>
      <c r="J77" s="4" t="inlineStr">
        <is>
          <t>P2 exit: Build + tests + lint green</t>
        </is>
      </c>
      <c r="K77" s="4" t="inlineStr">
        <is>
          <t>Own branch/worktree off development; rebase after dependency merges</t>
        </is>
      </c>
      <c r="L77" s="4" t="inlineStr">
        <is>
          <t>Deps merged to development; Approval C</t>
        </is>
      </c>
      <c r="M77" s="4" t="inlineStr">
        <is>
          <t>DoD met; PR merged by owner; post-merge verification passed</t>
        </is>
      </c>
    </row>
    <row r="78" ht="31" customHeight="1">
      <c r="A78" s="17" t="inlineStr">
        <is>
          <t>LS-131</t>
        </is>
      </c>
      <c r="B78" s="4" t="inlineStr">
        <is>
          <t>Branch strategy, PR template, CODEOWNERS</t>
        </is>
      </c>
      <c r="C78" s="4" t="inlineStr">
        <is>
          <t>LS-001</t>
        </is>
      </c>
      <c r="D78" s="4" t="inlineStr">
        <is>
          <t>LS-001</t>
        </is>
      </c>
      <c r="E78" s="4" t="inlineStr">
        <is>
          <t>–</t>
        </is>
      </c>
      <c r="F78" s="4" t="inlineStr">
        <is>
          <t>Yes</t>
        </is>
      </c>
      <c r="G78" s="4" t="inlineStr">
        <is>
          <t>–</t>
        </is>
      </c>
      <c r="H78" s="4" t="inlineStr">
        <is>
          <t>.github</t>
        </is>
      </c>
      <c r="I78" s="4" t="inlineStr">
        <is>
          <t>Low</t>
        </is>
      </c>
      <c r="J78" s="4" t="inlineStr">
        <is>
          <t>P1 exit: Docs approved</t>
        </is>
      </c>
      <c r="K78" s="4" t="inlineStr">
        <is>
          <t>Own branch/worktree off development; rebase after dependency merges</t>
        </is>
      </c>
      <c r="L78" s="4" t="inlineStr">
        <is>
          <t>Deps merged to development; Approval B</t>
        </is>
      </c>
      <c r="M78" s="4" t="inlineStr">
        <is>
          <t>DoD met; PR merged by owner; post-merge verification passed</t>
        </is>
      </c>
    </row>
    <row r="79" ht="31" customHeight="1">
      <c r="A79" s="17" t="inlineStr">
        <is>
          <t>LS-132</t>
        </is>
      </c>
      <c r="B79" s="4" t="inlineStr">
        <is>
          <t>Build &amp; run docs (Windows + macOS), release checklist, known limitations</t>
        </is>
      </c>
      <c r="C79" s="4" t="inlineStr">
        <is>
          <t>LS-030</t>
        </is>
      </c>
      <c r="D79" s="4" t="inlineStr">
        <is>
          <t>LS-030</t>
        </is>
      </c>
      <c r="E79" s="4" t="inlineStr">
        <is>
          <t>–</t>
        </is>
      </c>
      <c r="F79" s="4" t="inlineStr">
        <is>
          <t>Yes</t>
        </is>
      </c>
      <c r="G79" s="4" t="inlineStr">
        <is>
          <t>–</t>
        </is>
      </c>
      <c r="H79" s="4" t="inlineStr">
        <is>
          <t>Docs</t>
        </is>
      </c>
      <c r="I79" s="4" t="inlineStr">
        <is>
          <t>Low</t>
        </is>
      </c>
      <c r="J79" s="4" t="inlineStr">
        <is>
          <t>P8 exit: Owner sign-off</t>
        </is>
      </c>
      <c r="K79" s="4" t="inlineStr">
        <is>
          <t>Own branch/worktree off development; rebase after dependency merges</t>
        </is>
      </c>
      <c r="L79" s="4" t="inlineStr">
        <is>
          <t>Deps merged to development; Approval B</t>
        </is>
      </c>
      <c r="M79" s="4" t="inlineStr">
        <is>
          <t>DoD met; PR merged by owner; post-merge verification passed</t>
        </is>
      </c>
    </row>
    <row r="80" ht="31" customHeight="1">
      <c r="A80" s="17" t="inlineStr">
        <is>
          <t>LS-133</t>
        </is>
      </c>
      <c r="B80" s="4" t="inlineStr">
        <is>
          <t>Release-readiness report</t>
        </is>
      </c>
      <c r="C80" s="4" t="inlineStr">
        <is>
          <t>LS-121, LS-122, LS-123, LS-126, LS-047</t>
        </is>
      </c>
      <c r="D80" s="4" t="inlineStr">
        <is>
          <t>LS-047</t>
        </is>
      </c>
      <c r="E80" s="4" t="inlineStr">
        <is>
          <t>–</t>
        </is>
      </c>
      <c r="F80" s="4" t="inlineStr">
        <is>
          <t>After deps</t>
        </is>
      </c>
      <c r="G80" s="4" t="inlineStr">
        <is>
          <t>–</t>
        </is>
      </c>
      <c r="H80" s="4" t="inlineStr">
        <is>
          <t>Docs</t>
        </is>
      </c>
      <c r="I80" s="4" t="inlineStr">
        <is>
          <t>Low</t>
        </is>
      </c>
      <c r="J80" s="4" t="inlineStr">
        <is>
          <t>P8 exit: Owner sign-off</t>
        </is>
      </c>
      <c r="K80" s="4" t="inlineStr">
        <is>
          <t>Own branch/worktree off development; rebase after dependency merges</t>
        </is>
      </c>
      <c r="L80" s="4" t="inlineStr">
        <is>
          <t>Deps merged to development; Approval B</t>
        </is>
      </c>
      <c r="M80" s="4" t="inlineStr">
        <is>
          <t>DoD met; PR merged by owner; post-merge verification passed</t>
        </is>
      </c>
    </row>
    <row r="81" ht="31" customHeight="1">
      <c r="A81" s="17" t="inlineStr">
        <is>
          <t>LS-140</t>
        </is>
      </c>
      <c r="B81" s="4" t="inlineStr">
        <is>
          <t>Proposed future API contracts (incl. language negotiation)</t>
        </is>
      </c>
      <c r="C81" s="4" t="inlineStr">
        <is>
          <t>LS-037</t>
        </is>
      </c>
      <c r="D81" s="4" t="inlineStr">
        <is>
          <t>LS-037</t>
        </is>
      </c>
      <c r="E81" s="4" t="inlineStr">
        <is>
          <t>–</t>
        </is>
      </c>
      <c r="F81" s="4" t="inlineStr">
        <is>
          <t>Yes</t>
        </is>
      </c>
      <c r="G81" s="4" t="inlineStr">
        <is>
          <t>–</t>
        </is>
      </c>
      <c r="H81" s="4" t="inlineStr">
        <is>
          <t>Docs</t>
        </is>
      </c>
      <c r="I81" s="4" t="inlineStr">
        <is>
          <t>Low</t>
        </is>
      </c>
      <c r="J81" s="4" t="inlineStr">
        <is>
          <t>P8 exit: Owner sign-off</t>
        </is>
      </c>
      <c r="K81" s="4" t="inlineStr">
        <is>
          <t>Own branch/worktree off development; rebase after dependency merges</t>
        </is>
      </c>
      <c r="L81" s="4" t="inlineStr">
        <is>
          <t>Deps merged to development; Approval B</t>
        </is>
      </c>
      <c r="M81" s="4" t="inlineStr">
        <is>
          <t>DoD met; PR merged by owner; post-merge verification passed</t>
        </is>
      </c>
    </row>
    <row r="82" ht="31" customHeight="1">
      <c r="A82" s="17" t="inlineStr">
        <is>
          <t>LS-141</t>
        </is>
      </c>
      <c r="B82" s="4" t="inlineStr">
        <is>
          <t>AI generation flow &amp; multilingual child-safety plan</t>
        </is>
      </c>
      <c r="C82" s="4" t="inlineStr">
        <is>
          <t>LS-082</t>
        </is>
      </c>
      <c r="D82" s="4" t="inlineStr">
        <is>
          <t>LS-082</t>
        </is>
      </c>
      <c r="E82" s="4" t="inlineStr">
        <is>
          <t>–</t>
        </is>
      </c>
      <c r="F82" s="4" t="inlineStr">
        <is>
          <t>Yes</t>
        </is>
      </c>
      <c r="G82" s="4" t="inlineStr">
        <is>
          <t>–</t>
        </is>
      </c>
      <c r="H82" s="4" t="inlineStr">
        <is>
          <t>Docs</t>
        </is>
      </c>
      <c r="I82" s="4" t="inlineStr">
        <is>
          <t>Low</t>
        </is>
      </c>
      <c r="J82" s="4" t="inlineStr">
        <is>
          <t>P8 exit: Owner sign-off</t>
        </is>
      </c>
      <c r="K82" s="4" t="inlineStr">
        <is>
          <t>Own branch/worktree off development; rebase after dependency merges</t>
        </is>
      </c>
      <c r="L82" s="4" t="inlineStr">
        <is>
          <t>Deps merged to development; Approval B</t>
        </is>
      </c>
      <c r="M82" s="4" t="inlineStr">
        <is>
          <t>DoD met; PR merged by owner; post-merge verification passed</t>
        </is>
      </c>
    </row>
    <row r="83" ht="31" customHeight="1">
      <c r="A83" s="17" t="inlineStr">
        <is>
          <t>LS-150</t>
        </is>
      </c>
      <c r="B83" s="4" t="inlineStr">
        <is>
          <t>Configuration docs &amp; 'How to change X' guide</t>
        </is>
      </c>
      <c r="C83" s="4" t="inlineStr">
        <is>
          <t>LS-033, LS-010, LS-040</t>
        </is>
      </c>
      <c r="D83" s="4" t="inlineStr">
        <is>
          <t>LS-040</t>
        </is>
      </c>
      <c r="E83" s="4" t="inlineStr">
        <is>
          <t>–</t>
        </is>
      </c>
      <c r="F83" s="4" t="inlineStr">
        <is>
          <t>Yes</t>
        </is>
      </c>
      <c r="G83" s="4" t="inlineStr">
        <is>
          <t>–</t>
        </is>
      </c>
      <c r="H83" s="4" t="inlineStr">
        <is>
          <t>Docs</t>
        </is>
      </c>
      <c r="I83" s="4" t="inlineStr">
        <is>
          <t>Low</t>
        </is>
      </c>
      <c r="J83" s="4" t="inlineStr">
        <is>
          <t>P2 exit: Build + tests + lint green</t>
        </is>
      </c>
      <c r="K83" s="4" t="inlineStr">
        <is>
          <t>Own branch/worktree off development; rebase after dependency merges</t>
        </is>
      </c>
      <c r="L83" s="4" t="inlineStr">
        <is>
          <t>Deps merged to development; Approval B</t>
        </is>
      </c>
      <c r="M83" s="4" t="inlineStr">
        <is>
          <t>DoD met; PR merged by owner; post-merge verification passed</t>
        </is>
      </c>
    </row>
    <row r="85">
      <c r="A85" s="6" t="inlineStr">
        <is>
          <t>Parallel lanes (after P2 foundation)</t>
        </is>
      </c>
    </row>
    <row r="86" ht="30" customHeight="1">
      <c r="A86" s="17" t="inlineStr">
        <is>
          <t>Sequential foundation (single owner)</t>
        </is>
      </c>
      <c r="B86" s="61" t="n"/>
      <c r="C86" s="4" t="inlineStr">
        <is>
          <t>LS-030 → LS-031 → LS-037 / LS-040 / LS-010–012 → LS-050 (root Gradle, catalog, tokens, registry, nav graph)</t>
        </is>
      </c>
      <c r="D86" s="62" t="n"/>
      <c r="E86" s="62" t="n"/>
      <c r="F86" s="62" t="n"/>
      <c r="G86" s="62" t="n"/>
      <c r="H86" s="61" t="n"/>
    </row>
    <row r="87" ht="30" customHeight="1">
      <c r="A87" s="17" t="inlineStr">
        <is>
          <t>Lane A – Onboarding &amp; profiles</t>
        </is>
      </c>
      <c r="B87" s="61" t="n"/>
      <c r="C87" s="4" t="inlineStr">
        <is>
          <t>LS-060, LS-061, LS-062, LS-045, LS-063</t>
        </is>
      </c>
      <c r="D87" s="62" t="n"/>
      <c r="E87" s="62" t="n"/>
      <c r="F87" s="62" t="n"/>
      <c r="G87" s="62" t="n"/>
      <c r="H87" s="61" t="n"/>
    </row>
    <row r="88" ht="30" customHeight="1">
      <c r="A88" s="17" t="inlineStr">
        <is>
          <t>Lane B – Discovery</t>
        </is>
      </c>
      <c r="B88" s="61" t="n"/>
      <c r="C88" s="4" t="inlineStr">
        <is>
          <t>LS-070, LS-071, LS-072, LS-073, LS-074, LS-075</t>
        </is>
      </c>
      <c r="D88" s="62" t="n"/>
      <c r="E88" s="62" t="n"/>
      <c r="F88" s="62" t="n"/>
      <c r="G88" s="62" t="n"/>
      <c r="H88" s="61" t="n"/>
    </row>
    <row r="89" ht="30" customHeight="1">
      <c r="A89" s="17" t="inlineStr">
        <is>
          <t>Lane C – Creation</t>
        </is>
      </c>
      <c r="B89" s="61" t="n"/>
      <c r="C89" s="4" t="inlineStr">
        <is>
          <t>LS-080, LS-081, LS-082, LS-083, LS-084</t>
        </is>
      </c>
      <c r="D89" s="62" t="n"/>
      <c r="E89" s="62" t="n"/>
      <c r="F89" s="62" t="n"/>
      <c r="G89" s="62" t="n"/>
      <c r="H89" s="61" t="n"/>
    </row>
    <row r="90" ht="30" customHeight="1">
      <c r="A90" s="17" t="inlineStr">
        <is>
          <t>Lane D – Reader, player, library</t>
        </is>
      </c>
      <c r="B90" s="61" t="n"/>
      <c r="C90" s="4" t="inlineStr">
        <is>
          <t>LS-090, LS-091, LS-092, LS-093, LS-094, LS-100, LS-101</t>
        </is>
      </c>
      <c r="D90" s="62" t="n"/>
      <c r="E90" s="62" t="n"/>
      <c r="F90" s="62" t="n"/>
      <c r="G90" s="62" t="n"/>
      <c r="H90" s="61" t="n"/>
    </row>
    <row r="91" ht="30" customHeight="1">
      <c r="A91" s="17" t="inlineStr">
        <is>
          <t>Lane E – Settings &amp; parent</t>
        </is>
      </c>
      <c r="B91" s="61" t="n"/>
      <c r="C91" s="4" t="inlineStr">
        <is>
          <t>LS-110, LS-111, LS-112, LS-113, LS-046, LS-114, LS-115</t>
        </is>
      </c>
      <c r="D91" s="62" t="n"/>
      <c r="E91" s="62" t="n"/>
      <c r="F91" s="62" t="n"/>
      <c r="G91" s="62" t="n"/>
      <c r="H91" s="61" t="n"/>
    </row>
    <row r="92" ht="30" customHeight="1">
      <c r="A92" s="17" t="inlineStr">
        <is>
          <t>Anytime (docs / content)</t>
        </is>
      </c>
      <c r="B92" s="61" t="n"/>
      <c r="C92" s="4" t="inlineStr">
        <is>
          <t>LS-003–LS-008, LS-043, LS-044, LS-131, LS-140, LS-141, LS-150</t>
        </is>
      </c>
      <c r="D92" s="62" t="n"/>
      <c r="E92" s="62" t="n"/>
      <c r="F92" s="62" t="n"/>
      <c r="G92" s="62" t="n"/>
      <c r="H92" s="61" t="n"/>
    </row>
    <row r="93">
      <c r="A93" s="17" t="inlineStr">
        <is>
          <t>LS-009</t>
        </is>
      </c>
      <c r="B93" s="61" t="inlineStr">
        <is>
          <t>Repository hygiene: default branch main, development branch</t>
        </is>
      </c>
      <c r="C93" s="4" t="inlineStr">
        <is>
          <t>LS-001</t>
        </is>
      </c>
      <c r="D93" s="62" t="inlineStr">
        <is>
          <t>LS-001</t>
        </is>
      </c>
      <c r="E93" s="62" t="inlineStr">
        <is>
          <t>LS-030, LS-131</t>
        </is>
      </c>
      <c r="F93" s="62" t="inlineStr">
        <is>
          <t>Yes</t>
        </is>
      </c>
      <c r="G93" s="62" t="inlineStr">
        <is>
          <t>GitHub settings</t>
        </is>
      </c>
      <c r="H93" s="61" t="inlineStr">
        <is>
          <t>–</t>
        </is>
      </c>
      <c r="I93" t="inlineStr">
        <is>
          <t>Low</t>
        </is>
      </c>
      <c r="J93" t="inlineStr">
        <is>
          <t>P1 exit</t>
        </is>
      </c>
      <c r="K93" t="inlineStr">
        <is>
          <t>Owner action, no branch</t>
        </is>
      </c>
      <c r="L93" t="inlineStr">
        <is>
          <t>Owner decision D2</t>
        </is>
      </c>
      <c r="M93" t="inlineStr">
        <is>
          <t>Default branch main; development exists</t>
        </is>
      </c>
    </row>
    <row r="94">
      <c r="A94" s="17" t="inlineStr">
        <is>
          <t>LS-039</t>
        </is>
      </c>
      <c r="B94" s="61" t="inlineStr">
        <is>
          <t>Build verification environment (ADR-017)</t>
        </is>
      </c>
      <c r="C94" s="4" t="inlineStr">
        <is>
          <t>LS-009</t>
        </is>
      </c>
      <c r="D94" s="62" t="inlineStr">
        <is>
          <t>LS-009</t>
        </is>
      </c>
      <c r="E94" s="62" t="inlineStr">
        <is>
          <t>LS-030, LS-035, LS-130</t>
        </is>
      </c>
      <c r="F94" s="62" t="inlineStr">
        <is>
          <t>Yes</t>
        </is>
      </c>
      <c r="G94" s="62" t="inlineStr">
        <is>
          <t>Cloud environment settings</t>
        </is>
      </c>
      <c r="H94" s="61" t="inlineStr">
        <is>
          <t>–</t>
        </is>
      </c>
      <c r="I94" t="inlineStr">
        <is>
          <t>Low</t>
        </is>
      </c>
      <c r="J94" t="inlineStr">
        <is>
          <t>P2 entry</t>
        </is>
      </c>
      <c r="K94" t="inlineStr">
        <is>
          <t>Owner action, no branch</t>
        </is>
      </c>
      <c r="L94" t="inlineStr">
        <is>
          <t>Owner decision D3</t>
        </is>
      </c>
      <c r="M94" t="inlineStr">
        <is>
          <t>Gradle sync downloading AGP succeeds</t>
        </is>
      </c>
    </row>
  </sheetData>
  <autoFilter ref="A1:M94"/>
  <mergeCells count="14">
    <mergeCell ref="A92:B92"/>
    <mergeCell ref="A86:B86"/>
    <mergeCell ref="C89:H89"/>
    <mergeCell ref="C92:H92"/>
    <mergeCell ref="A90:B90"/>
    <mergeCell ref="A89:B89"/>
    <mergeCell ref="C87:H87"/>
    <mergeCell ref="C88:H88"/>
    <mergeCell ref="A88:B88"/>
    <mergeCell ref="C91:H91"/>
    <mergeCell ref="C86:H86"/>
    <mergeCell ref="C90:H90"/>
    <mergeCell ref="A91:B91"/>
    <mergeCell ref="A87:B87"/>
  </mergeCells>
  <conditionalFormatting sqref="I2:I83">
    <cfRule type="cellIs" priority="1" operator="equal" dxfId="3">
      <formula>"High"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AE3FF"/>
    <outlinePr summaryBelow="1" summaryRight="1"/>
    <pageSetUpPr/>
  </sheetPr>
  <dimension ref="A1:K19"/>
  <sheetViews>
    <sheetView zoomScale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34" customWidth="1" min="3" max="3"/>
    <col width="34" customWidth="1" min="4" max="4"/>
    <col width="40" customWidth="1" min="5" max="5"/>
    <col width="32" customWidth="1" min="6" max="6"/>
    <col width="26" customWidth="1" min="7" max="7"/>
    <col width="14" customWidth="1" min="8" max="8"/>
    <col width="14" customWidth="1" min="9" max="9"/>
    <col width="11" customWidth="1" min="10" max="10"/>
    <col width="18" customWidth="1" min="11" max="11"/>
  </cols>
  <sheetData>
    <row r="1" ht="32" customHeight="1">
      <c r="A1" s="20" t="inlineStr">
        <is>
          <t>ADR ID</t>
        </is>
      </c>
      <c r="B1" s="20" t="inlineStr">
        <is>
          <t>Decision Title</t>
        </is>
      </c>
      <c r="C1" s="20" t="inlineStr">
        <is>
          <t>Context</t>
        </is>
      </c>
      <c r="D1" s="20" t="inlineStr">
        <is>
          <t>Options Considered</t>
        </is>
      </c>
      <c r="E1" s="20" t="inlineStr">
        <is>
          <t>Decision</t>
        </is>
      </c>
      <c r="F1" s="20" t="inlineStr">
        <is>
          <t>Rationale</t>
        </is>
      </c>
      <c r="G1" s="20" t="inlineStr">
        <is>
          <t>Consequences</t>
        </is>
      </c>
      <c r="H1" s="20" t="inlineStr">
        <is>
          <t>Status</t>
        </is>
      </c>
      <c r="I1" s="20" t="inlineStr">
        <is>
          <t>Approver</t>
        </is>
      </c>
      <c r="J1" s="20" t="inlineStr">
        <is>
          <t>Date</t>
        </is>
      </c>
      <c r="K1" s="20" t="inlineStr">
        <is>
          <t>Related Tickets</t>
        </is>
      </c>
    </row>
    <row r="2" ht="31" customHeight="1">
      <c r="A2" s="17" t="inlineStr">
        <is>
          <t>ADR-001</t>
        </is>
      </c>
      <c r="B2" s="4" t="inlineStr">
        <is>
          <t>Navigation library</t>
        </is>
      </c>
      <c r="C2" s="4" t="inlineStr">
        <is>
          <t>Need typed navigation for ~22 destinations</t>
        </is>
      </c>
      <c r="D2" s="4" t="inlineStr">
        <is>
          <t>Navigation-Compose 2 (type-safe routes) · Navigation 3</t>
        </is>
      </c>
      <c r="E2" s="4" t="inlineStr">
        <is>
          <t>Recommended: Navigation Compose type-safe routes; re-check Navigation 3 in LS-030</t>
        </is>
      </c>
      <c r="F2" s="4" t="inlineStr">
        <is>
          <t>Pick most stable with verified AGP/Kotlin compatibility</t>
        </is>
      </c>
      <c r="G2" s="4" t="inlineStr">
        <is>
          <t>Affects all feature modules</t>
        </is>
      </c>
      <c r="H2" s="4" t="inlineStr">
        <is>
          <t>Proposed</t>
        </is>
      </c>
      <c r="I2" s="4" t="inlineStr">
        <is>
          <t>Project owner</t>
        </is>
      </c>
      <c r="J2" s="4" t="inlineStr"/>
      <c r="K2" s="4" t="inlineStr">
        <is>
          <t>LS-050</t>
        </is>
      </c>
    </row>
    <row r="3" ht="58" customHeight="1">
      <c r="A3" s="17" t="inlineStr">
        <is>
          <t>ADR-002</t>
        </is>
      </c>
      <c r="B3" s="4" t="inlineStr">
        <is>
          <t>Module structure</t>
        </is>
      </c>
      <c r="C3" s="4" t="inlineStr">
        <is>
          <t>Small MVP, many features, parallel agents</t>
        </is>
      </c>
      <c r="D3" s="4" t="inlineStr">
        <is>
          <t>Single module · layered · feature modules</t>
        </is>
      </c>
      <c r="E3" s="4" t="inlineStr">
        <is>
          <t>Recommended (D4): 7 feature modules — onboarding, home, discover, create, reader, library, settings — plus app, build-logic, core:designsystem, core:ui, core:common, domain, data</t>
        </is>
      </c>
      <c r="F3" s="4" t="inlineStr">
        <is>
          <t>Parallel work with low conflicts</t>
        </is>
      </c>
      <c r="G3" s="4" t="inlineStr">
        <is>
          <t>More Gradle setup → convention plugins</t>
        </is>
      </c>
      <c r="H3" s="4" t="inlineStr">
        <is>
          <t>Proposed</t>
        </is>
      </c>
      <c r="I3" s="4" t="inlineStr">
        <is>
          <t>Project owner</t>
        </is>
      </c>
      <c r="J3" s="4" t="inlineStr"/>
      <c r="K3" s="4" t="inlineStr">
        <is>
          <t>LS-031</t>
        </is>
      </c>
    </row>
    <row r="4" ht="18" customHeight="1">
      <c r="A4" s="17" t="inlineStr">
        <is>
          <t>ADR-003</t>
        </is>
      </c>
      <c r="B4" s="4" t="inlineStr">
        <is>
          <t>Dependency injection</t>
        </is>
      </c>
      <c r="C4" s="4" t="inlineStr">
        <is>
          <t>Repositories swapped mock → real later</t>
        </is>
      </c>
      <c r="D4" s="4" t="inlineStr">
        <is>
          <t>Hilt · Koin · manual</t>
        </is>
      </c>
      <c r="E4" s="4" t="inlineStr">
        <is>
          <t>Hilt</t>
        </is>
      </c>
      <c r="F4" s="4" t="inlineStr">
        <is>
          <t>Standard, testable, compile-time</t>
        </is>
      </c>
      <c r="G4" s="4" t="inlineStr">
        <is>
          <t>Annotation processing (KSP)</t>
        </is>
      </c>
      <c r="H4" s="4" t="inlineStr">
        <is>
          <t>Proposed</t>
        </is>
      </c>
      <c r="I4" s="4" t="inlineStr">
        <is>
          <t>Project owner</t>
        </is>
      </c>
      <c r="J4" s="4" t="inlineStr"/>
      <c r="K4" s="4" t="inlineStr">
        <is>
          <t>LS-032</t>
        </is>
      </c>
    </row>
    <row r="5" ht="31" customHeight="1">
      <c r="A5" s="17" t="inlineStr">
        <is>
          <t>ADR-004</t>
        </is>
      </c>
      <c r="B5" s="4" t="inlineStr">
        <is>
          <t>Persistence</t>
        </is>
      </c>
      <c r="C5" s="4" t="inlineStr">
        <is>
          <t>Favourites, profiles, progress, downloads, settings must survive restart</t>
        </is>
      </c>
      <c r="D5" s="4" t="inlineStr">
        <is>
          <t>DataStore only · Room + DataStore</t>
        </is>
      </c>
      <c r="E5" s="4" t="inlineStr">
        <is>
          <t>Room for relational data; DataStore for preferences</t>
        </is>
      </c>
      <c r="F5" s="4" t="inlineStr">
        <is>
          <t>Queries for library tabs; simple prefs</t>
        </is>
      </c>
      <c r="G5" s="4" t="inlineStr">
        <is>
          <t>Migration discipline</t>
        </is>
      </c>
      <c r="H5" s="4" t="inlineStr">
        <is>
          <t>Proposed</t>
        </is>
      </c>
      <c r="I5" s="4" t="inlineStr">
        <is>
          <t>Project owner</t>
        </is>
      </c>
      <c r="J5" s="4" t="inlineStr"/>
      <c r="K5" s="4" t="inlineStr">
        <is>
          <t>LS-038</t>
        </is>
      </c>
    </row>
    <row r="6" ht="31" customHeight="1">
      <c r="A6" s="17" t="inlineStr">
        <is>
          <t>ADR-005</t>
        </is>
      </c>
      <c r="B6" s="4" t="inlineStr">
        <is>
          <t>Locale switching</t>
        </is>
      </c>
      <c r="C6" s="4" t="inlineStr">
        <is>
          <t>EN/KN now, more later; Android 13 per-app language</t>
        </is>
      </c>
      <c r="D6" s="4" t="inlineStr">
        <is>
          <t>AppCompat per-app locales · custom context wrapper</t>
        </is>
      </c>
      <c r="E6" s="4" t="inlineStr">
        <is>
          <t>AppCompatDelegate.setApplicationLocales + locales_config.xml</t>
        </is>
      </c>
      <c r="F6" s="4" t="inlineStr">
        <is>
          <t>Official, persists automatically, system settings integration</t>
        </is>
      </c>
      <c r="G6" s="4" t="inlineStr">
        <is>
          <t>Verify minSdk behaviour</t>
        </is>
      </c>
      <c r="H6" s="4" t="inlineStr">
        <is>
          <t>Proposed</t>
        </is>
      </c>
      <c r="I6" s="4" t="inlineStr">
        <is>
          <t>Project owner</t>
        </is>
      </c>
      <c r="J6" s="4" t="inlineStr"/>
      <c r="K6" s="4" t="inlineStr">
        <is>
          <t>LS-040</t>
        </is>
      </c>
    </row>
    <row r="7" ht="31" customHeight="1">
      <c r="A7" s="17" t="inlineStr">
        <is>
          <t>ADR-006</t>
        </is>
      </c>
      <c r="B7" s="4" t="inlineStr">
        <is>
          <t>Supported language registry</t>
        </is>
      </c>
      <c r="C7" s="4" t="inlineStr">
        <is>
          <t>Avoid scattered language lists (design lists 7)</t>
        </is>
      </c>
      <c r="D7" s="4" t="inlineStr">
        <is>
          <t>Enum · config file · resources</t>
        </is>
      </c>
      <c r="E7" s="4" t="inlineStr">
        <is>
          <t>SupportedLanguage registry (tag, native name, enabled, default)</t>
        </is>
      </c>
      <c r="F7" s="4" t="inlineStr">
        <is>
          <t>Single source; tests can check locales_config parity</t>
        </is>
      </c>
      <c r="G7" s="4" t="inlineStr">
        <is>
          <t>–</t>
        </is>
      </c>
      <c r="H7" s="4" t="inlineStr">
        <is>
          <t>Proposed</t>
        </is>
      </c>
      <c r="I7" s="4" t="inlineStr">
        <is>
          <t>Project owner</t>
        </is>
      </c>
      <c r="J7" s="4" t="inlineStr"/>
      <c r="K7" s="4" t="inlineStr">
        <is>
          <t>LS-040, LS-045, LS-046</t>
        </is>
      </c>
    </row>
    <row r="8" ht="31" customHeight="1">
      <c r="A8" s="17" t="inlineStr">
        <is>
          <t>ADR-007</t>
        </is>
      </c>
      <c r="B8" s="4" t="inlineStr">
        <is>
          <t>Localized mock content</t>
        </is>
      </c>
      <c r="C8" s="4" t="inlineStr">
        <is>
          <t>Stories must exist in EN &amp; KN</t>
        </is>
      </c>
      <c r="D8" s="4" t="inlineStr">
        <is>
          <t>String resources · per-language JSON assets</t>
        </is>
      </c>
      <c r="E8" s="4" t="inlineStr">
        <is>
          <t>assets/mock/*_{tag}.json keyed by stable IDs; EN fallback</t>
        </is>
      </c>
      <c r="F8" s="4" t="inlineStr">
        <is>
          <t>Scales to more stories/languages; mirrors future API</t>
        </is>
      </c>
      <c r="G8" s="4" t="inlineStr">
        <is>
          <t>Loader + parity check needed</t>
        </is>
      </c>
      <c r="H8" s="4" t="inlineStr">
        <is>
          <t>Proposed</t>
        </is>
      </c>
      <c r="I8" s="4" t="inlineStr">
        <is>
          <t>Project owner</t>
        </is>
      </c>
      <c r="J8" s="4" t="inlineStr"/>
      <c r="K8" s="4" t="inlineStr">
        <is>
          <t>LS-036, LS-044</t>
        </is>
      </c>
    </row>
    <row r="9" ht="31" customHeight="1">
      <c r="A9" s="17" t="inlineStr">
        <is>
          <t>ADR-008</t>
        </is>
      </c>
      <c r="B9" s="4" t="inlineStr">
        <is>
          <t>Fonts</t>
        </is>
      </c>
      <c r="C9" s="4" t="inlineStr">
        <is>
          <t>DM Sans/Manrope have no Kannada glyphs</t>
        </is>
      </c>
      <c r="D9" s="4" t="inlineStr">
        <is>
          <t>Downloadable fonts · bundled fonts</t>
        </is>
      </c>
      <c r="E9" s="4" t="inlineStr">
        <is>
          <t>Bundle DM Sans + Manrope + Noto Sans Kannada (all OFL) in res/font</t>
        </is>
      </c>
      <c r="F9" s="4" t="inlineStr">
        <is>
          <t>Offline, deterministic screenshots</t>
        </is>
      </c>
      <c r="G9" s="4" t="inlineStr">
        <is>
          <t>APK size (+~1 MB)</t>
        </is>
      </c>
      <c r="H9" s="4" t="inlineStr">
        <is>
          <t>Proposed</t>
        </is>
      </c>
      <c r="I9" s="4" t="inlineStr">
        <is>
          <t>Project owner</t>
        </is>
      </c>
      <c r="J9" s="4" t="inlineStr"/>
      <c r="K9" s="4" t="inlineStr">
        <is>
          <t>LS-011</t>
        </is>
      </c>
    </row>
    <row r="10" ht="31" customHeight="1">
      <c r="A10" s="17" t="inlineStr">
        <is>
          <t>ADR-009</t>
        </is>
      </c>
      <c r="B10" s="4" t="inlineStr">
        <is>
          <t>UiText abstraction</t>
        </is>
      </c>
      <c r="C10" s="4" t="inlineStr">
        <is>
          <t>ViewModels must not hold translated strings</t>
        </is>
      </c>
      <c r="D10" s="4" t="inlineStr">
        <is>
          <t>Resource IDs · UiText sealed type</t>
        </is>
      </c>
      <c r="E10" s="4" t="inlineStr">
        <is>
          <t>UiText (StringRes, PluralRes, Dynamic)</t>
        </is>
      </c>
      <c r="F10" s="4" t="inlineStr">
        <is>
          <t>Testable, language-agnostic VMs</t>
        </is>
      </c>
      <c r="G10" s="4" t="inlineStr">
        <is>
          <t>Small boilerplate</t>
        </is>
      </c>
      <c r="H10" s="4" t="inlineStr">
        <is>
          <t>Proposed</t>
        </is>
      </c>
      <c r="I10" s="4" t="inlineStr">
        <is>
          <t>Project owner</t>
        </is>
      </c>
      <c r="J10" s="4" t="inlineStr"/>
      <c r="K10" s="4" t="inlineStr">
        <is>
          <t>LS-040</t>
        </is>
      </c>
    </row>
    <row r="11" ht="31" customHeight="1">
      <c r="A11" s="17" t="inlineStr">
        <is>
          <t>ADR-010</t>
        </is>
      </c>
      <c r="B11" s="4" t="inlineStr">
        <is>
          <t>Story artwork</t>
        </is>
      </c>
      <c r="C11" s="4" t="inlineStr">
        <is>
          <t>Design art is CSS-drawn, no image assets</t>
        </is>
      </c>
      <c r="D11" s="4" t="inlineStr">
        <is>
          <t>Compose Canvas · vector drawables · commissioned PNGs</t>
        </is>
      </c>
      <c r="E11" s="4" t="inlineStr">
        <is>
          <t>Compose Canvas driven by story palette + motif</t>
        </is>
      </c>
      <c r="F11" s="4" t="inlineStr">
        <is>
          <t>Matches design, themable, tiny size</t>
        </is>
      </c>
      <c r="G11" s="4" t="inlineStr">
        <is>
          <t>Drawing effort (LS-018)</t>
        </is>
      </c>
      <c r="H11" s="4" t="inlineStr">
        <is>
          <t>Proposed</t>
        </is>
      </c>
      <c r="I11" s="4" t="inlineStr">
        <is>
          <t>Project owner</t>
        </is>
      </c>
      <c r="J11" s="4" t="inlineStr"/>
      <c r="K11" s="4" t="inlineStr">
        <is>
          <t>LS-018</t>
        </is>
      </c>
    </row>
    <row r="12" ht="31" customHeight="1">
      <c r="A12" s="17" t="inlineStr">
        <is>
          <t>ADR-011</t>
        </is>
      </c>
      <c r="B12" s="4" t="inlineStr">
        <is>
          <t>Screenshot testing</t>
        </is>
      </c>
      <c r="C12" s="4" t="inlineStr">
        <is>
          <t>Need EN/KN visual regression</t>
        </is>
      </c>
      <c r="D12" s="4" t="inlineStr">
        <is>
          <t>Compose Preview Screenshot Testing · Roborazzi · Paparazzi</t>
        </is>
      </c>
      <c r="E12" s="4" t="inlineStr">
        <is>
          <t>Recommended (D7): Roborazzi; Compose Preview Screenshot Testing as alternative</t>
        </is>
      </c>
      <c r="F12" s="4" t="inlineStr">
        <is>
          <t>Compatibility with AGP version</t>
        </is>
      </c>
      <c r="G12" s="4" t="inlineStr">
        <is>
          <t>CI runtime</t>
        </is>
      </c>
      <c r="H12" s="4" t="inlineStr">
        <is>
          <t>Proposed</t>
        </is>
      </c>
      <c r="I12" s="4" t="inlineStr">
        <is>
          <t>Project owner</t>
        </is>
      </c>
      <c r="J12" s="4" t="inlineStr"/>
      <c r="K12" s="4" t="inlineStr">
        <is>
          <t>LS-035, LS-122</t>
        </is>
      </c>
    </row>
    <row r="13" ht="31" customHeight="1">
      <c r="A13" s="17" t="inlineStr">
        <is>
          <t>ADR-012</t>
        </is>
      </c>
      <c r="B13" s="4" t="inlineStr">
        <is>
          <t>Configuration &amp; feature flags</t>
        </is>
      </c>
      <c r="C13" s="4" t="inlineStr">
        <is>
          <t>No hardcoding; simulated features</t>
        </is>
      </c>
      <c r="D13" s="4" t="inlineStr">
        <is>
          <t>Scattered constants · AppConfig objects + BuildConfig</t>
        </is>
      </c>
      <c r="E13" s="4" t="inlineStr">
        <is>
          <t>AppConfig (limits, timings, options) + FeatureFlags + BuildConfig</t>
        </is>
      </c>
      <c r="F13" s="4" t="inlineStr">
        <is>
          <t>One place to change</t>
        </is>
      </c>
      <c r="G13" s="4" t="inlineStr">
        <is>
          <t>–</t>
        </is>
      </c>
      <c r="H13" s="4" t="inlineStr">
        <is>
          <t>Proposed</t>
        </is>
      </c>
      <c r="I13" s="4" t="inlineStr">
        <is>
          <t>Project owner</t>
        </is>
      </c>
      <c r="J13" s="4" t="inlineStr"/>
      <c r="K13" s="4" t="inlineStr">
        <is>
          <t>LS-033</t>
        </is>
      </c>
    </row>
    <row r="14" ht="31" customHeight="1">
      <c r="A14" s="17" t="inlineStr">
        <is>
          <t>ADR-013</t>
        </is>
      </c>
      <c r="B14" s="4" t="inlineStr">
        <is>
          <t>Theme</t>
        </is>
      </c>
      <c r="C14" s="4" t="inlineStr">
        <is>
          <t>Design has cream light UI + night screens; no dark mode</t>
        </is>
      </c>
      <c r="D14" s="4" t="inlineStr">
        <is>
          <t>Light only · light + dark</t>
        </is>
      </c>
      <c r="E14" s="4" t="inlineStr">
        <is>
          <t>Single light theme with 'night' surface tokens; dark mode out of MVP</t>
        </is>
      </c>
      <c r="F14" s="4" t="inlineStr">
        <is>
          <t>Matches design</t>
        </is>
      </c>
      <c r="G14" s="4" t="inlineStr">
        <is>
          <t>System dark mode ignored – document</t>
        </is>
      </c>
      <c r="H14" s="4" t="inlineStr">
        <is>
          <t>Proposed</t>
        </is>
      </c>
      <c r="I14" s="4" t="inlineStr">
        <is>
          <t>Project owner</t>
        </is>
      </c>
      <c r="J14" s="4" t="inlineStr"/>
      <c r="K14" s="4" t="inlineStr">
        <is>
          <t>LS-010</t>
        </is>
      </c>
    </row>
    <row r="15" ht="31" customHeight="1">
      <c r="A15" s="17" t="inlineStr">
        <is>
          <t>ADR-014</t>
        </is>
      </c>
      <c r="B15" s="4" t="inlineStr">
        <is>
          <t>Simulated features policy</t>
        </is>
      </c>
      <c r="C15" s="4" t="inlineStr">
        <is>
          <t>No real AI/audio/billing/notifications in MVP</t>
        </is>
      </c>
      <c r="D15" s="4" t="inlineStr">
        <is>
          <t>–</t>
        </is>
      </c>
      <c r="E15" s="4" t="inlineStr">
        <is>
          <t>Simulations behind interfaces + visible labelling + flags</t>
        </is>
      </c>
      <c r="F15" s="4" t="inlineStr">
        <is>
          <t>Honest UX, swappable later</t>
        </is>
      </c>
      <c r="G15" s="4" t="inlineStr">
        <is>
          <t>–</t>
        </is>
      </c>
      <c r="H15" s="4" t="inlineStr">
        <is>
          <t>Proposed</t>
        </is>
      </c>
      <c r="I15" s="4" t="inlineStr">
        <is>
          <t>Project owner</t>
        </is>
      </c>
      <c r="J15" s="4" t="inlineStr"/>
      <c r="K15" s="4" t="inlineStr">
        <is>
          <t>LS-082, LS-092, LS-101, LS-113</t>
        </is>
      </c>
    </row>
    <row r="16" ht="31" customHeight="1">
      <c r="A16" s="17" t="inlineStr">
        <is>
          <t>ADR-015</t>
        </is>
      </c>
      <c r="B16" s="4" t="inlineStr">
        <is>
          <t>Bedtime reminder delivery</t>
        </is>
      </c>
      <c r="C16" s="4" t="inlineStr">
        <is>
          <t>Design shows reminder setting; remote notifications excluded</t>
        </is>
      </c>
      <c r="D16" s="4" t="inlineStr">
        <is>
          <t>Settings only · local scheduled notification</t>
        </is>
      </c>
      <c r="E16" s="4" t="inlineStr">
        <is>
          <t>Recommended (D13): settings UI only in MVP; real local notification is a separate approved ticket</t>
        </is>
      </c>
      <c r="F16" s="4" t="inlineStr">
        <is>
          <t>Local notification needs POST_NOTIFICATIONS &amp; alarm scheduling</t>
        </is>
      </c>
      <c r="G16" s="4" t="inlineStr">
        <is>
          <t>Permission + testing</t>
        </is>
      </c>
      <c r="H16" s="4" t="inlineStr">
        <is>
          <t>Pending Approval</t>
        </is>
      </c>
      <c r="I16" s="4" t="inlineStr">
        <is>
          <t>Project owner</t>
        </is>
      </c>
      <c r="J16" s="4" t="inlineStr"/>
      <c r="K16" s="4" t="inlineStr">
        <is>
          <t>LS-111</t>
        </is>
      </c>
    </row>
    <row r="17" ht="31" customHeight="1">
      <c r="A17" s="17" t="inlineStr">
        <is>
          <t>ADR-016</t>
        </is>
      </c>
      <c r="B17" s="4" t="inlineStr">
        <is>
          <t>Minimum SDK</t>
        </is>
      </c>
      <c r="C17" s="4" t="inlineStr">
        <is>
          <t>Compatibility for Kannada rendering and per-app language</t>
        </is>
      </c>
      <c r="D17" s="4" t="inlineStr">
        <is>
          <t>minSdk 24 · 26 · 28</t>
        </is>
      </c>
      <c r="E17" s="4" t="inlineStr">
        <is>
          <t>Recommended (D5): minSdk 26</t>
        </is>
      </c>
      <c r="F17" s="4" t="inlineStr">
        <is>
          <t>Predictable font + per-app-language behaviour; AppCompat backport below Android 13</t>
        </is>
      </c>
      <c r="G17" s="4" t="inlineStr">
        <is>
          <t>Android 7.x unsupported</t>
        </is>
      </c>
      <c r="H17" s="4" t="inlineStr">
        <is>
          <t>Proposed</t>
        </is>
      </c>
      <c r="I17" s="4" t="inlineStr">
        <is>
          <t>Project owner</t>
        </is>
      </c>
      <c r="J17" s="4" t="inlineStr">
        <is>
          <t>29 Oct 2026</t>
        </is>
      </c>
      <c r="K17" s="4" t="inlineStr">
        <is>
          <t>LS-030, LS-040</t>
        </is>
      </c>
    </row>
    <row r="18" ht="31" customHeight="1">
      <c r="A18" s="17" t="inlineStr">
        <is>
          <t>ADR-017</t>
        </is>
      </c>
      <c r="B18" s="4" t="inlineStr">
        <is>
          <t>Build and test verification environment</t>
        </is>
      </c>
      <c r="C18" s="4" t="inlineStr">
        <is>
          <t>Cloud agent workspace cannot reach dl.google.com (R-21)</t>
        </is>
      </c>
      <c r="D18" s="4" t="inlineStr">
        <is>
          <t>Allow host · CI only · owner machine only</t>
        </is>
      </c>
      <c r="E18" s="4" t="inlineStr">
        <is>
          <t>Recommended (D3): allow dl.google.com + GitHub Actions on every PR</t>
        </is>
      </c>
      <c r="F18" s="4" t="inlineStr">
        <is>
          <t>PRs need real build evidence</t>
        </is>
      </c>
      <c r="G18" s="4" t="inlineStr">
        <is>
          <t>CI becomes part of the foundation milestone</t>
        </is>
      </c>
      <c r="H18" s="4" t="inlineStr">
        <is>
          <t>Proposed</t>
        </is>
      </c>
      <c r="I18" s="4" t="inlineStr">
        <is>
          <t>Project owner</t>
        </is>
      </c>
      <c r="J18" s="4" t="inlineStr">
        <is>
          <t>29 Oct 2026</t>
        </is>
      </c>
      <c r="K18" s="4" t="inlineStr">
        <is>
          <t>LS-039, LS-130</t>
        </is>
      </c>
    </row>
    <row r="19" ht="31" customHeight="1">
      <c r="A19" s="17" t="inlineStr">
        <is>
          <t>ADR-018</t>
        </is>
      </c>
      <c r="B19" s="4" t="inlineStr">
        <is>
          <t>Static analysis</t>
        </is>
      </c>
      <c r="C19" s="4" t="inlineStr">
        <is>
          <t>No-hardcoding policy needs enforcement</t>
        </is>
      </c>
      <c r="D19" s="4" t="inlineStr">
        <is>
          <t>Lint only · Lint + Detekt · Lint + Detekt + ktlint</t>
        </is>
      </c>
      <c r="E19" s="4" t="inlineStr">
        <is>
          <t>Recommended (D15): Lint (errors) + Detekt + ktlint</t>
        </is>
      </c>
      <c r="F19" s="4" t="inlineStr">
        <is>
          <t>Catches magic numbers, raw colours/dp and style drift</t>
        </is>
      </c>
      <c r="G19" s="4" t="inlineStr">
        <is>
          <t>Rules maintained in build-logic</t>
        </is>
      </c>
      <c r="H19" s="4" t="inlineStr">
        <is>
          <t>Proposed</t>
        </is>
      </c>
      <c r="I19" s="4" t="inlineStr">
        <is>
          <t>Project owner</t>
        </is>
      </c>
      <c r="J19" s="4" t="inlineStr">
        <is>
          <t>29 Oct 2026</t>
        </is>
      </c>
      <c r="K19" s="4" t="inlineStr">
        <is>
          <t>LS-034</t>
        </is>
      </c>
    </row>
  </sheetData>
  <autoFilter ref="A1:K1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2A39A"/>
    <outlinePr summaryBelow="1" summaryRight="1"/>
    <pageSetUpPr/>
  </sheetPr>
  <dimension ref="A1:K25"/>
  <sheetViews>
    <sheetView zoomScale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13" customWidth="1" min="3" max="3"/>
    <col width="44" customWidth="1" min="4" max="4"/>
    <col width="10" customWidth="1" min="5" max="5"/>
    <col width="9" customWidth="1" min="6" max="6"/>
    <col width="40" customWidth="1" min="7" max="7"/>
    <col width="16" customWidth="1" min="8" max="8"/>
    <col width="26" customWidth="1" min="9" max="9"/>
    <col width="12" customWidth="1" min="10" max="10"/>
    <col width="9" customWidth="1" min="11" max="11"/>
  </cols>
  <sheetData>
    <row r="1" ht="32" customHeight="1">
      <c r="A1" s="20" t="inlineStr">
        <is>
          <t>ID</t>
        </is>
      </c>
      <c r="B1" s="20" t="inlineStr">
        <is>
          <t>Risk / Question</t>
        </is>
      </c>
      <c r="C1" s="20" t="inlineStr">
        <is>
          <t>Category</t>
        </is>
      </c>
      <c r="D1" s="20" t="inlineStr">
        <is>
          <t>Description</t>
        </is>
      </c>
      <c r="E1" s="20" t="inlineStr">
        <is>
          <t>Probability</t>
        </is>
      </c>
      <c r="F1" s="20" t="inlineStr">
        <is>
          <t>Impact</t>
        </is>
      </c>
      <c r="G1" s="20" t="inlineStr">
        <is>
          <t>Mitigation</t>
        </is>
      </c>
      <c r="H1" s="20" t="inlineStr">
        <is>
          <t>Owner</t>
        </is>
      </c>
      <c r="I1" s="20" t="inlineStr">
        <is>
          <t>Required Decision</t>
        </is>
      </c>
      <c r="J1" s="20" t="inlineStr">
        <is>
          <t>Deadline / Milestone</t>
        </is>
      </c>
      <c r="K1" s="20" t="inlineStr">
        <is>
          <t>Status</t>
        </is>
      </c>
    </row>
    <row r="2" ht="31" customHeight="1">
      <c r="A2" s="17" t="inlineStr">
        <is>
          <t>R-01</t>
        </is>
      </c>
      <c r="B2" s="4" t="inlineStr">
        <is>
          <t>Old brand in design assets</t>
        </is>
      </c>
      <c r="C2" s="4" t="inlineStr">
        <is>
          <t>Design</t>
        </is>
      </c>
      <c r="D2" s="4" t="inlineStr">
        <is>
          <t>Screenshots show 'LittleKatha' in logo, Profile group header and Premium banner</t>
        </is>
      </c>
      <c r="E2" s="4" t="inlineStr">
        <is>
          <t>High</t>
        </is>
      </c>
      <c r="F2" s="4" t="inlineStr">
        <is>
          <t>Low</t>
        </is>
      </c>
      <c r="G2" s="4" t="inlineStr">
        <is>
          <t>Rebuild brand mark with 'LittleStory'; grep check in CI</t>
        </is>
      </c>
      <c r="H2" s="4" t="inlineStr">
        <is>
          <t>Owner</t>
        </is>
      </c>
      <c r="I2" s="4" t="inlineStr">
        <is>
          <t>Confirm final logo</t>
        </is>
      </c>
      <c r="J2" s="4" t="inlineStr">
        <is>
          <t>P2</t>
        </is>
      </c>
      <c r="K2" s="4" t="inlineStr">
        <is>
          <t>Open</t>
        </is>
      </c>
    </row>
    <row r="3" ht="31" customHeight="1">
      <c r="A3" s="17" t="inlineStr">
        <is>
          <t>R-02</t>
        </is>
      </c>
      <c r="B3" s="4" t="inlineStr">
        <is>
          <t>Design offers 7 languages</t>
        </is>
      </c>
      <c r="C3" s="4" t="inlineStr">
        <is>
          <t>Scope</t>
        </is>
      </c>
      <c r="D3" s="4" t="inlineStr">
        <is>
          <t>Setup/Create language lists show English, Hindi, Kannada, Tamil, Telugu, Marathi, Malayalam</t>
        </is>
      </c>
      <c r="E3" s="4" t="inlineStr">
        <is>
          <t>High</t>
        </is>
      </c>
      <c r="F3" s="4" t="inlineStr">
        <is>
          <t>Medium</t>
        </is>
      </c>
      <c r="G3" s="4" t="inlineStr">
        <is>
          <t>Registry-driven list exposing only EN/KN</t>
        </is>
      </c>
      <c r="H3" s="4" t="inlineStr">
        <is>
          <t>Owner</t>
        </is>
      </c>
      <c r="I3" s="4" t="inlineStr">
        <is>
          <t>Confirm EN/KN only for MVP</t>
        </is>
      </c>
      <c r="J3" s="4" t="inlineStr">
        <is>
          <t>P1</t>
        </is>
      </c>
      <c r="K3" s="4" t="inlineStr">
        <is>
          <t>Open</t>
        </is>
      </c>
    </row>
    <row r="4" ht="31" customHeight="1">
      <c r="A4" s="17" t="inlineStr">
        <is>
          <t>R-03</t>
        </is>
      </c>
      <c r="B4" s="4" t="inlineStr">
        <is>
          <t>Fonts lack Kannada glyphs</t>
        </is>
      </c>
      <c r="C4" s="4" t="inlineStr">
        <is>
          <t>Localization</t>
        </is>
      </c>
      <c r="D4" s="4" t="inlineStr">
        <is>
          <t>DM Sans and Manrope do not cover Kannada script</t>
        </is>
      </c>
      <c r="E4" s="4" t="inlineStr">
        <is>
          <t>High</t>
        </is>
      </c>
      <c r="F4" s="4" t="inlineStr">
        <is>
          <t>High</t>
        </is>
      </c>
      <c r="G4" s="4" t="inlineStr">
        <is>
          <t>Noto Sans Kannada fallback + KN line-height tokens</t>
        </is>
      </c>
      <c r="H4" s="4" t="inlineStr">
        <is>
          <t>Localization Eng.</t>
        </is>
      </c>
      <c r="I4" s="4" t="inlineStr">
        <is>
          <t>Approve fallback font</t>
        </is>
      </c>
      <c r="J4" s="4" t="inlineStr">
        <is>
          <t>P2</t>
        </is>
      </c>
      <c r="K4" s="4" t="inlineStr">
        <is>
          <t>Open</t>
        </is>
      </c>
    </row>
    <row r="5" ht="31" customHeight="1">
      <c r="A5" s="17" t="inlineStr">
        <is>
          <t>R-04</t>
        </is>
      </c>
      <c r="B5" s="4" t="inlineStr">
        <is>
          <t>Kannada text expansion</t>
        </is>
      </c>
      <c r="C5" s="4" t="inlineStr">
        <is>
          <t>Localization</t>
        </is>
      </c>
      <c r="D5" s="4" t="inlineStr">
        <is>
          <t>10sp nav labels, chips, buttons, tabs may clip</t>
        </is>
      </c>
      <c r="E5" s="4" t="inlineStr">
        <is>
          <t>High</t>
        </is>
      </c>
      <c r="F5" s="4" t="inlineStr">
        <is>
          <t>Medium</t>
        </is>
      </c>
      <c r="G5" s="4" t="inlineStr">
        <is>
          <t>Flexible layouts, pseudo-locale tests, KN screenshots</t>
        </is>
      </c>
      <c r="H5" s="4" t="inlineStr">
        <is>
          <t>Localization Eng.</t>
        </is>
      </c>
      <c r="I5" s="4" t="inlineStr">
        <is>
          <t>Accept wrapping rules</t>
        </is>
      </c>
      <c r="J5" s="4" t="inlineStr">
        <is>
          <t>P3–P6</t>
        </is>
      </c>
      <c r="K5" s="4" t="inlineStr">
        <is>
          <t>Open</t>
        </is>
      </c>
    </row>
    <row r="6" ht="44.5" customHeight="1">
      <c r="A6" s="17" t="inlineStr">
        <is>
          <t>R-05</t>
        </is>
      </c>
      <c r="B6" s="4" t="inlineStr">
        <is>
          <t>Missing designs</t>
        </is>
      </c>
      <c r="C6" s="4" t="inlineStr">
        <is>
          <t>Design</t>
        </is>
      </c>
      <c r="D6" s="4" t="inlineStr">
        <is>
          <t>Splash, Language preferences, Privacy &amp; parent controls, Help &amp; about, Account settings, Audio preferences, notifications empty state</t>
        </is>
      </c>
      <c r="E6" s="4" t="inlineStr">
        <is>
          <t>High</t>
        </is>
      </c>
      <c r="F6" s="4" t="inlineStr">
        <is>
          <t>Medium</t>
        </is>
      </c>
      <c r="G6" s="4" t="inlineStr">
        <is>
          <t>Simple pattern-based screens approved by owner</t>
        </is>
      </c>
      <c r="H6" s="4" t="inlineStr">
        <is>
          <t>Owner</t>
        </is>
      </c>
      <c r="I6" s="4" t="inlineStr">
        <is>
          <t>Provide designs or approve patterns</t>
        </is>
      </c>
      <c r="J6" s="4" t="inlineStr">
        <is>
          <t>P1</t>
        </is>
      </c>
      <c r="K6" s="4" t="inlineStr">
        <is>
          <t>Open</t>
        </is>
      </c>
    </row>
    <row r="7" ht="31" customHeight="1">
      <c r="A7" s="17" t="inlineStr">
        <is>
          <t>R-06</t>
        </is>
      </c>
      <c r="B7" s="4" t="inlineStr">
        <is>
          <t>Gendered sample copy</t>
        </is>
      </c>
      <c r="C7" s="4" t="inlineStr">
        <is>
          <t>Content</t>
        </is>
      </c>
      <c r="D7" s="4" t="inlineStr">
        <is>
          <t>Placeholder 'helped his friend' assumes gender; hard to translate</t>
        </is>
      </c>
      <c r="E7" s="4" t="inlineStr">
        <is>
          <t>Medium</t>
        </is>
      </c>
      <c r="F7" s="4" t="inlineStr">
        <is>
          <t>Low</t>
        </is>
      </c>
      <c r="G7" s="4" t="inlineStr">
        <is>
          <t>Neutral copy using child name</t>
        </is>
      </c>
      <c r="H7" s="4" t="inlineStr">
        <is>
          <t>Owner</t>
        </is>
      </c>
      <c r="I7" s="4" t="inlineStr">
        <is>
          <t>Approve copy</t>
        </is>
      </c>
      <c r="J7" s="4" t="inlineStr">
        <is>
          <t>P1</t>
        </is>
      </c>
      <c r="K7" s="4" t="inlineStr">
        <is>
          <t>Open</t>
        </is>
      </c>
    </row>
    <row r="8" ht="31" customHeight="1">
      <c r="A8" s="17" t="inlineStr">
        <is>
          <t>R-07</t>
        </is>
      </c>
      <c r="B8" s="4" t="inlineStr">
        <is>
          <t>Low contrast secondary text</t>
        </is>
      </c>
      <c r="C8" s="4" t="inlineStr">
        <is>
          <t>Accessibility</t>
        </is>
      </c>
      <c r="D8" s="4" t="inlineStr">
        <is>
          <t>Measured 29 Oct 2026 (docs/design/accessibility-spec.md): muted #716B80 passes (4.87:1 on cream, 5.10:1 on white); nav-inactive #817B8D fails (3.89:1 on cream), lavender focus ring on white 2.53:1 and progress fill on track 2.02:1 fail non-text 3:1</t>
        </is>
      </c>
      <c r="E8" s="4" t="inlineStr">
        <is>
          <t>High</t>
        </is>
      </c>
      <c r="F8" s="4" t="inlineStr">
        <is>
          <t>Medium</t>
        </is>
      </c>
      <c r="G8" s="4" t="inlineStr">
        <is>
          <t>Darken nav-inactive token; thicker/darker focus ring and progress fill</t>
        </is>
      </c>
      <c r="H8" s="4" t="inlineStr">
        <is>
          <t>Accessibility Eng.</t>
        </is>
      </c>
      <c r="I8" s="4" t="inlineStr">
        <is>
          <t>Approve token change</t>
        </is>
      </c>
      <c r="J8" s="4" t="inlineStr">
        <is>
          <t>P7</t>
        </is>
      </c>
      <c r="K8" s="4" t="inlineStr">
        <is>
          <t>Open</t>
        </is>
      </c>
    </row>
    <row r="9" ht="18" customHeight="1">
      <c r="A9" s="17" t="inlineStr">
        <is>
          <t>R-08</t>
        </is>
      </c>
      <c r="B9" s="4" t="inlineStr">
        <is>
          <t>Small touch targets</t>
        </is>
      </c>
      <c r="C9" s="4" t="inlineStr">
        <is>
          <t>Accessibility</t>
        </is>
      </c>
      <c r="D9" s="4" t="inlineStr">
        <is>
          <t>Chips and 42px icon buttons below 48dp</t>
        </is>
      </c>
      <c r="E9" s="4" t="inlineStr">
        <is>
          <t>High</t>
        </is>
      </c>
      <c r="F9" s="4" t="inlineStr">
        <is>
          <t>Medium</t>
        </is>
      </c>
      <c r="G9" s="4" t="inlineStr">
        <is>
          <t>Expand touch area without changing visuals</t>
        </is>
      </c>
      <c r="H9" s="4" t="inlineStr">
        <is>
          <t>Accessibility Eng.</t>
        </is>
      </c>
      <c r="I9" s="4" t="inlineStr">
        <is>
          <t>–</t>
        </is>
      </c>
      <c r="J9" s="4" t="inlineStr">
        <is>
          <t>P2</t>
        </is>
      </c>
      <c r="K9" s="4" t="inlineStr">
        <is>
          <t>Open</t>
        </is>
      </c>
    </row>
    <row r="10" ht="31" customHeight="1">
      <c r="A10" s="17" t="inlineStr">
        <is>
          <t>R-09</t>
        </is>
      </c>
      <c r="B10" s="4" t="inlineStr">
        <is>
          <t>No motion spec for transitions</t>
        </is>
      </c>
      <c r="C10" s="4" t="inlineStr">
        <is>
          <t>Design</t>
        </is>
      </c>
      <c r="D10" s="4" t="inlineStr">
        <is>
          <t>Screens swap instantly; sheets don't slide; toasts don't auto-dismiss</t>
        </is>
      </c>
      <c r="E10" s="4" t="inlineStr">
        <is>
          <t>Medium</t>
        </is>
      </c>
      <c r="F10" s="4" t="inlineStr">
        <is>
          <t>Low</t>
        </is>
      </c>
      <c r="G10" s="4" t="inlineStr">
        <is>
          <t>Use platform defaults; record decision</t>
        </is>
      </c>
      <c r="H10" s="4" t="inlineStr">
        <is>
          <t>Owner</t>
        </is>
      </c>
      <c r="I10" s="4" t="inlineStr">
        <is>
          <t>Choose transitions</t>
        </is>
      </c>
      <c r="J10" s="4" t="inlineStr">
        <is>
          <t>P1</t>
        </is>
      </c>
      <c r="K10" s="4" t="inlineStr">
        <is>
          <t>Open</t>
        </is>
      </c>
    </row>
    <row r="11" ht="31" customHeight="1">
      <c r="A11" s="17" t="inlineStr">
        <is>
          <t>R-10</t>
        </is>
      </c>
      <c r="B11" s="4" t="inlineStr">
        <is>
          <t>Greeting fixed to 'Good evening'</t>
        </is>
      </c>
      <c r="C11" s="4" t="inlineStr">
        <is>
          <t>Content</t>
        </is>
      </c>
      <c r="D11" s="4" t="inlineStr">
        <is>
          <t>No time-of-day variants designed</t>
        </is>
      </c>
      <c r="E11" s="4" t="inlineStr">
        <is>
          <t>Medium</t>
        </is>
      </c>
      <c r="F11" s="4" t="inlineStr">
        <is>
          <t>Low</t>
        </is>
      </c>
      <c r="G11" s="4" t="inlineStr">
        <is>
          <t>Morning/afternoon/evening strings or keep fixed</t>
        </is>
      </c>
      <c r="H11" s="4" t="inlineStr">
        <is>
          <t>Owner</t>
        </is>
      </c>
      <c r="I11" s="4" t="inlineStr">
        <is>
          <t>Decide</t>
        </is>
      </c>
      <c r="J11" s="4" t="inlineStr">
        <is>
          <t>P1</t>
        </is>
      </c>
      <c r="K11" s="4" t="inlineStr">
        <is>
          <t>Open</t>
        </is>
      </c>
    </row>
    <row r="12" ht="31" customHeight="1">
      <c r="A12" s="17" t="inlineStr">
        <is>
          <t>R-11</t>
        </is>
      </c>
      <c r="B12" s="4" t="inlineStr">
        <is>
          <t>Child &amp; parent personal data</t>
        </is>
      </c>
      <c r="C12" s="4" t="inlineStr">
        <is>
          <t>Privacy</t>
        </is>
      </c>
      <c r="D12" s="4" t="inlineStr">
        <is>
          <t>Parent name, email (example) and child details collected</t>
        </is>
      </c>
      <c r="E12" s="4" t="inlineStr">
        <is>
          <t>Medium</t>
        </is>
      </c>
      <c r="F12" s="4" t="inlineStr">
        <is>
          <t>High</t>
        </is>
      </c>
      <c r="G12" s="4" t="inlineStr">
        <is>
          <t>Collect minimum; local only; no email in MVP; delete action</t>
        </is>
      </c>
      <c r="H12" s="4" t="inlineStr">
        <is>
          <t>Security Reviewer</t>
        </is>
      </c>
      <c r="I12" s="4" t="inlineStr">
        <is>
          <t>Confirm fields</t>
        </is>
      </c>
      <c r="J12" s="4" t="inlineStr">
        <is>
          <t>P1</t>
        </is>
      </c>
      <c r="K12" s="4" t="inlineStr">
        <is>
          <t>Open</t>
        </is>
      </c>
    </row>
    <row r="13" ht="18" customHeight="1">
      <c r="A13" s="17" t="inlineStr">
        <is>
          <t>R-12</t>
        </is>
      </c>
      <c r="B13" s="4" t="inlineStr">
        <is>
          <t>Native Kannada reviewer</t>
        </is>
      </c>
      <c r="C13" s="4" t="inlineStr">
        <is>
          <t>Localization</t>
        </is>
      </c>
      <c r="D13" s="4" t="inlineStr">
        <is>
          <t>Translations need fluent reviewer before release</t>
        </is>
      </c>
      <c r="E13" s="4" t="inlineStr">
        <is>
          <t>Medium</t>
        </is>
      </c>
      <c r="F13" s="4" t="inlineStr">
        <is>
          <t>High</t>
        </is>
      </c>
      <c r="G13" s="4" t="inlineStr">
        <is>
          <t>Name reviewer early; review in batches</t>
        </is>
      </c>
      <c r="H13" s="4" t="inlineStr">
        <is>
          <t>Owner</t>
        </is>
      </c>
      <c r="I13" s="4" t="inlineStr">
        <is>
          <t>Assign reviewer</t>
        </is>
      </c>
      <c r="J13" s="4" t="inlineStr">
        <is>
          <t>P6</t>
        </is>
      </c>
      <c r="K13" s="4" t="inlineStr">
        <is>
          <t>Open</t>
        </is>
      </c>
    </row>
    <row r="14" ht="18" customHeight="1">
      <c r="A14" s="17" t="inlineStr">
        <is>
          <t>R-13</t>
        </is>
      </c>
      <c r="B14" s="4" t="inlineStr">
        <is>
          <t>Kannada TTS for TalkBack</t>
        </is>
      </c>
      <c r="C14" s="4" t="inlineStr">
        <is>
          <t>Accessibility</t>
        </is>
      </c>
      <c r="D14" s="4" t="inlineStr">
        <is>
          <t>Device may lack Kannada voice</t>
        </is>
      </c>
      <c r="E14" s="4" t="inlineStr">
        <is>
          <t>Medium</t>
        </is>
      </c>
      <c r="F14" s="4" t="inlineStr">
        <is>
          <t>Medium</t>
        </is>
      </c>
      <c r="G14" s="4" t="inlineStr">
        <is>
          <t>Document limitation; test on device with voice</t>
        </is>
      </c>
      <c r="H14" s="4" t="inlineStr">
        <is>
          <t>Accessibility Eng.</t>
        </is>
      </c>
      <c r="I14" s="4" t="inlineStr">
        <is>
          <t>–</t>
        </is>
      </c>
      <c r="J14" s="4" t="inlineStr">
        <is>
          <t>P7</t>
        </is>
      </c>
      <c r="K14" s="4" t="inlineStr">
        <is>
          <t>Open</t>
        </is>
      </c>
    </row>
    <row r="15" ht="31" customHeight="1">
      <c r="A15" s="17" t="inlineStr">
        <is>
          <t>R-14</t>
        </is>
      </c>
      <c r="B15" s="4" t="inlineStr">
        <is>
          <t>Reminder scheduling</t>
        </is>
      </c>
      <c r="C15" s="4" t="inlineStr">
        <is>
          <t>Scope</t>
        </is>
      </c>
      <c r="D15" s="4" t="inlineStr">
        <is>
          <t>Real reminders need POST_NOTIFICATIONS + scheduling</t>
        </is>
      </c>
      <c r="E15" s="4" t="inlineStr">
        <is>
          <t>Medium</t>
        </is>
      </c>
      <c r="F15" s="4" t="inlineStr">
        <is>
          <t>Medium</t>
        </is>
      </c>
      <c r="G15" s="4" t="inlineStr">
        <is>
          <t>Settings-only in MVP unless approved (ADR-015)</t>
        </is>
      </c>
      <c r="H15" s="4" t="inlineStr">
        <is>
          <t>Owner</t>
        </is>
      </c>
      <c r="I15" s="4" t="inlineStr">
        <is>
          <t>Decide</t>
        </is>
      </c>
      <c r="J15" s="4" t="inlineStr">
        <is>
          <t>P1</t>
        </is>
      </c>
      <c r="K15" s="4" t="inlineStr">
        <is>
          <t>Open</t>
        </is>
      </c>
    </row>
    <row r="16" ht="31" customHeight="1">
      <c r="A16" s="17" t="inlineStr">
        <is>
          <t>R-15</t>
        </is>
      </c>
      <c r="B16" s="4" t="inlineStr">
        <is>
          <t>Demo pricing perceived as real</t>
        </is>
      </c>
      <c r="C16" s="4" t="inlineStr">
        <is>
          <t>Compliance</t>
        </is>
      </c>
      <c r="D16" s="4" t="inlineStr">
        <is>
          <t>₹ prices shown</t>
        </is>
      </c>
      <c r="E16" s="4" t="inlineStr">
        <is>
          <t>Low</t>
        </is>
      </c>
      <c r="F16" s="4" t="inlineStr">
        <is>
          <t>Medium</t>
        </is>
      </c>
      <c r="G16" s="4" t="inlineStr">
        <is>
          <t>Feature flag + explicit disclaimer; no billing code</t>
        </is>
      </c>
      <c r="H16" s="4" t="inlineStr">
        <is>
          <t>Owner</t>
        </is>
      </c>
      <c r="I16" s="4" t="inlineStr">
        <is>
          <t>Ship or hide</t>
        </is>
      </c>
      <c r="J16" s="4" t="inlineStr">
        <is>
          <t>P6</t>
        </is>
      </c>
      <c r="K16" s="4" t="inlineStr">
        <is>
          <t>Open</t>
        </is>
      </c>
    </row>
    <row r="17" ht="18" customHeight="1">
      <c r="A17" s="17" t="inlineStr">
        <is>
          <t>R-16</t>
        </is>
      </c>
      <c r="B17" s="4" t="inlineStr">
        <is>
          <t>Illustration fidelity effort</t>
        </is>
      </c>
      <c r="C17" s="4" t="inlineStr">
        <is>
          <t>Delivery</t>
        </is>
      </c>
      <c r="D17" s="4" t="inlineStr">
        <is>
          <t>CSS-drawn art must be recreated in Compose</t>
        </is>
      </c>
      <c r="E17" s="4" t="inlineStr">
        <is>
          <t>Medium</t>
        </is>
      </c>
      <c r="F17" s="4" t="inlineStr">
        <is>
          <t>Medium</t>
        </is>
      </c>
      <c r="G17" s="4" t="inlineStr">
        <is>
          <t>ADR-010; prioritise 6 motifs</t>
        </is>
      </c>
      <c r="H17" s="4" t="inlineStr">
        <is>
          <t>UI Eng.</t>
        </is>
      </c>
      <c r="I17" s="4" t="inlineStr">
        <is>
          <t>–</t>
        </is>
      </c>
      <c r="J17" s="4" t="inlineStr">
        <is>
          <t>P2</t>
        </is>
      </c>
      <c r="K17" s="4" t="inlineStr">
        <is>
          <t>Open</t>
        </is>
      </c>
    </row>
    <row r="18" ht="18" customHeight="1">
      <c r="A18" s="17" t="inlineStr">
        <is>
          <t>R-17</t>
        </is>
      </c>
      <c r="B18" s="4" t="inlineStr">
        <is>
          <t>Repository state unknown</t>
        </is>
      </c>
      <c r="C18" s="4" t="inlineStr">
        <is>
          <t>Delivery</t>
        </is>
      </c>
      <c r="D18" s="4" t="inlineStr">
        <is>
          <t>Discovery (LS-001) not yet run</t>
        </is>
      </c>
      <c r="E18" s="4" t="inlineStr">
        <is>
          <t>High</t>
        </is>
      </c>
      <c r="F18" s="4" t="inlineStr">
        <is>
          <t>High</t>
        </is>
      </c>
      <c r="G18" s="4" t="inlineStr">
        <is>
          <t>Closed by P0 assessment 29 Oct 2026: repo is docs-only (see R-21, R-22)</t>
        </is>
      </c>
      <c r="H18" s="4" t="inlineStr">
        <is>
          <t>Orchestrator</t>
        </is>
      </c>
      <c r="I18" s="4" t="inlineStr">
        <is>
          <t>–</t>
        </is>
      </c>
      <c r="J18" s="4" t="inlineStr">
        <is>
          <t>P0</t>
        </is>
      </c>
      <c r="K18" s="4" t="inlineStr">
        <is>
          <t>Closed</t>
        </is>
      </c>
    </row>
    <row r="19" ht="31" customHeight="1">
      <c r="A19" s="17" t="inlineStr">
        <is>
          <t>R-18</t>
        </is>
      </c>
      <c r="B19" s="4" t="inlineStr">
        <is>
          <t>Category screen hard-coded</t>
        </is>
      </c>
      <c r="C19" s="4" t="inlineStr">
        <is>
          <t>Design</t>
        </is>
      </c>
      <c r="D19" s="4" t="inlineStr">
        <is>
          <t>Prototype only shows Indian Tales; hero art per category undefined</t>
        </is>
      </c>
      <c r="E19" s="4" t="inlineStr">
        <is>
          <t>Medium</t>
        </is>
      </c>
      <c r="F19" s="4" t="inlineStr">
        <is>
          <t>Low</t>
        </is>
      </c>
      <c r="G19" s="4" t="inlineStr">
        <is>
          <t>Generic screen + per-category data</t>
        </is>
      </c>
      <c r="H19" s="4" t="inlineStr">
        <is>
          <t>Owner</t>
        </is>
      </c>
      <c r="I19" s="4" t="inlineStr">
        <is>
          <t>Approve generic hero</t>
        </is>
      </c>
      <c r="J19" s="4" t="inlineStr">
        <is>
          <t>P4</t>
        </is>
      </c>
      <c r="K19" s="4" t="inlineStr">
        <is>
          <t>Open</t>
        </is>
      </c>
    </row>
    <row r="20" ht="18" customHeight="1">
      <c r="A20" s="17" t="inlineStr">
        <is>
          <t>R-19</t>
        </is>
      </c>
      <c r="B20" s="4" t="inlineStr">
        <is>
          <t>Prototype placeholder routes</t>
        </is>
      </c>
      <c r="C20" s="4" t="inlineStr">
        <is>
          <t>Design</t>
        </is>
      </c>
      <c r="D20" s="4" t="inlineStr">
        <is>
          <t>Several settings rows route to unrelated screens</t>
        </is>
      </c>
      <c r="E20" s="4" t="inlineStr">
        <is>
          <t>High</t>
        </is>
      </c>
      <c r="F20" s="4" t="inlineStr">
        <is>
          <t>Medium</t>
        </is>
      </c>
      <c r="G20" s="4" t="inlineStr">
        <is>
          <t>Map to real or disabled destinations (LS-004)</t>
        </is>
      </c>
      <c r="H20" s="4" t="inlineStr">
        <is>
          <t>Owner</t>
        </is>
      </c>
      <c r="I20" s="4" t="inlineStr">
        <is>
          <t>Decide per row</t>
        </is>
      </c>
      <c r="J20" s="4" t="inlineStr">
        <is>
          <t>P1</t>
        </is>
      </c>
      <c r="K20" s="4" t="inlineStr">
        <is>
          <t>Open</t>
        </is>
      </c>
    </row>
    <row r="21" ht="18" customHeight="1">
      <c r="A21" s="17" t="inlineStr">
        <is>
          <t>R-20</t>
        </is>
      </c>
      <c r="B21" s="4" t="inlineStr">
        <is>
          <t>15 s control glyph overlap</t>
        </is>
      </c>
      <c r="C21" s="4" t="inlineStr">
        <is>
          <t>Design defect</t>
        </is>
      </c>
      <c r="D21" s="4" t="inlineStr">
        <is>
          <t>'15' and arrow glyphs overlap on Player</t>
        </is>
      </c>
      <c r="E21" s="4" t="inlineStr">
        <is>
          <t>High</t>
        </is>
      </c>
      <c r="F21" s="4" t="inlineStr">
        <is>
          <t>Low</t>
        </is>
      </c>
      <c r="G21" s="4" t="inlineStr">
        <is>
          <t>LS-094 – proper icons</t>
        </is>
      </c>
      <c r="H21" s="4" t="inlineStr">
        <is>
          <t>UI Eng.</t>
        </is>
      </c>
      <c r="I21" s="4" t="inlineStr">
        <is>
          <t>–</t>
        </is>
      </c>
      <c r="J21" s="4" t="inlineStr">
        <is>
          <t>P5</t>
        </is>
      </c>
      <c r="K21" s="4" t="inlineStr">
        <is>
          <t>Open</t>
        </is>
      </c>
    </row>
    <row r="22" ht="18" customHeight="1">
      <c r="A22" s="17" t="inlineStr">
        <is>
          <t>R-21</t>
        </is>
      </c>
      <c r="B22" s="4" t="inlineStr">
        <is>
          <t>Build environment blocked</t>
        </is>
      </c>
      <c r="C22" s="4" t="inlineStr">
        <is>
          <t>Delivery</t>
        </is>
      </c>
      <c r="D22" s="4" t="inlineStr">
        <is>
          <t>Cloud agent workspace gets 403 for dl.google.com (Google Maven, Android SDK); agents cannot build Android there</t>
        </is>
      </c>
      <c r="E22" s="4" t="inlineStr">
        <is>
          <t>High</t>
        </is>
      </c>
      <c r="F22" s="4" t="inlineStr">
        <is>
          <t>High</t>
        </is>
      </c>
      <c r="G22" s="4" t="inlineStr">
        <is>
          <t>Allow dl.google.com in cloud environment; GitHub Actions CI; no unverified build claims (ADR-017, LS-039)</t>
        </is>
      </c>
      <c r="H22" s="4" t="inlineStr">
        <is>
          <t>Owner</t>
        </is>
      </c>
      <c r="I22" s="4" t="inlineStr">
        <is>
          <t>Choose build environment (D3)</t>
        </is>
      </c>
      <c r="J22" s="4" t="inlineStr">
        <is>
          <t>P2</t>
        </is>
      </c>
      <c r="K22" s="4" t="inlineStr">
        <is>
          <t>Open</t>
        </is>
      </c>
    </row>
    <row r="23" ht="18" customHeight="1">
      <c r="A23" s="17" t="inlineStr">
        <is>
          <t>R-22</t>
        </is>
      </c>
      <c r="B23" s="4" t="inlineStr">
        <is>
          <t>Default branch misconfigured</t>
        </is>
      </c>
      <c r="C23" s="4" t="inlineStr">
        <is>
          <t>Delivery</t>
        </is>
      </c>
      <c r="D23" s="4" t="inlineStr">
        <is>
          <t>GitHub default branch is the docs branch claude/project-thread-sszyf7, not main</t>
        </is>
      </c>
      <c r="E23" s="4" t="inlineStr">
        <is>
          <t>High</t>
        </is>
      </c>
      <c r="F23" s="4" t="inlineStr">
        <is>
          <t>Medium</t>
        </is>
      </c>
      <c r="G23" s="4" t="inlineStr">
        <is>
          <t>Owner merges PR #1, sets default to main, creates development (LS-009)</t>
        </is>
      </c>
      <c r="H23" s="4" t="inlineStr">
        <is>
          <t>Owner</t>
        </is>
      </c>
      <c r="I23" s="4" t="inlineStr">
        <is>
          <t>Approve repo hygiene (D2)</t>
        </is>
      </c>
      <c r="J23" s="4" t="inlineStr">
        <is>
          <t>P1</t>
        </is>
      </c>
      <c r="K23" s="4" t="inlineStr">
        <is>
          <t>Open</t>
        </is>
      </c>
    </row>
    <row r="24" ht="18" customHeight="1">
      <c r="A24" s="17" t="inlineStr">
        <is>
          <t>R-23</t>
        </is>
      </c>
      <c r="B24" s="4" t="inlineStr">
        <is>
          <t>Design drift</t>
        </is>
      </c>
      <c r="C24" s="4" t="inlineStr">
        <is>
          <t>Design</t>
        </is>
      </c>
      <c r="D24" s="4" t="inlineStr">
        <is>
          <t>Agents cannot re-read the Figma Make file; docs/design/ is a 29 Oct 2026 snapshot</t>
        </is>
      </c>
      <c r="E24" s="4" t="inlineStr">
        <is>
          <t>Medium</t>
        </is>
      </c>
      <c r="F24" s="4" t="inlineStr">
        <is>
          <t>Medium</t>
        </is>
      </c>
      <c r="G24" s="4" t="inlineStr">
        <is>
          <t>Owner flags Make changes; re-export the design pack</t>
        </is>
      </c>
      <c r="H24" s="4" t="inlineStr">
        <is>
          <t>Owner</t>
        </is>
      </c>
      <c r="I24" s="4" t="inlineStr">
        <is>
          <t>–</t>
        </is>
      </c>
      <c r="J24" s="4" t="inlineStr">
        <is>
          <t>P1–P7</t>
        </is>
      </c>
      <c r="K24" s="4" t="inlineStr">
        <is>
          <t>Open</t>
        </is>
      </c>
    </row>
    <row r="25" ht="18" customHeight="1">
      <c r="A25" s="17" t="inlineStr">
        <is>
          <t>R-24</t>
        </is>
      </c>
      <c r="B25" s="4" t="inlineStr">
        <is>
          <t>Public repository</t>
        </is>
      </c>
      <c r="C25" s="4" t="inlineStr">
        <is>
          <t>Security</t>
        </is>
      </c>
      <c r="D25" s="4" t="inlineStr">
        <is>
          <t>Repository is public; secrets or child data committed would be exposed</t>
        </is>
      </c>
      <c r="E25" s="4" t="inlineStr">
        <is>
          <t>Medium</t>
        </is>
      </c>
      <c r="F25" s="4" t="inlineStr">
        <is>
          <t>High</t>
        </is>
      </c>
      <c r="G25" s="4" t="inlineStr">
        <is>
          <t>Secret scanning in CI; .gitignore local.properties/keystores; synthetic data only</t>
        </is>
      </c>
      <c r="H25" s="4" t="inlineStr">
        <is>
          <t>Security Reviewer</t>
        </is>
      </c>
      <c r="I25" s="4" t="inlineStr">
        <is>
          <t>Keep public or make private</t>
        </is>
      </c>
      <c r="J25" s="4" t="inlineStr">
        <is>
          <t>P1</t>
        </is>
      </c>
      <c r="K25" s="4" t="inlineStr">
        <is>
          <t>Open</t>
        </is>
      </c>
    </row>
  </sheetData>
  <autoFilter ref="A1:K25"/>
  <conditionalFormatting sqref="E2:E21">
    <cfRule type="cellIs" priority="1" operator="equal" dxfId="3">
      <formula>"High"</formula>
    </cfRule>
  </conditionalFormatting>
  <conditionalFormatting sqref="F2:F21">
    <cfRule type="cellIs" priority="2" operator="equal" dxfId="3">
      <formula>"High"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B388B"/>
    <outlinePr summaryBelow="1" summaryRight="1"/>
    <pageSetUpPr/>
  </sheetPr>
  <dimension ref="A1:P85"/>
  <sheetViews>
    <sheetView zoomScale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12" customWidth="1" min="3" max="3"/>
    <col width="26" customWidth="1" min="4" max="4"/>
    <col width="10" customWidth="1" min="5" max="5"/>
    <col width="10" customWidth="1" min="6" max="6"/>
    <col width="10" customWidth="1" min="7" max="7"/>
    <col width="13" customWidth="1" min="8" max="8"/>
    <col width="15" customWidth="1" min="9" max="9"/>
    <col width="13" customWidth="1" min="10" max="10"/>
    <col width="11" customWidth="1" min="11" max="11"/>
    <col width="12" customWidth="1" min="12" max="12"/>
    <col width="11" customWidth="1" min="13" max="13"/>
    <col width="12" customWidth="1" min="14" max="14"/>
    <col width="13" customWidth="1" min="15" max="15"/>
    <col width="11" customWidth="1" min="16" max="16"/>
  </cols>
  <sheetData>
    <row r="1" ht="32" customHeight="1">
      <c r="A1" s="20" t="inlineStr">
        <is>
          <t>Ticket</t>
        </is>
      </c>
      <c r="B1" s="20" t="inlineStr">
        <is>
          <t>Branch</t>
        </is>
      </c>
      <c r="C1" s="20" t="inlineStr">
        <is>
          <t>Base Branch</t>
        </is>
      </c>
      <c r="D1" s="20" t="inlineStr">
        <is>
          <t>PR URL</t>
        </is>
      </c>
      <c r="E1" s="20" t="inlineStr">
        <is>
          <t>Build</t>
        </is>
      </c>
      <c r="F1" s="20" t="inlineStr">
        <is>
          <t>Unit Tests</t>
        </is>
      </c>
      <c r="G1" s="20" t="inlineStr">
        <is>
          <t>UI Tests</t>
        </is>
      </c>
      <c r="H1" s="20" t="inlineStr">
        <is>
          <t>Screenshot Diff (EN/KN)</t>
        </is>
      </c>
      <c r="I1" s="20" t="inlineStr">
        <is>
          <t>Lint (Hardcoded/MissingTranslation)</t>
        </is>
      </c>
      <c r="J1" s="20" t="inlineStr">
        <is>
          <t>Translation Completeness</t>
        </is>
      </c>
      <c r="K1" s="20" t="inlineStr">
        <is>
          <t>Security Check</t>
        </is>
      </c>
      <c r="L1" s="20" t="inlineStr">
        <is>
          <t>Reviewer Status</t>
        </is>
      </c>
      <c r="M1" s="20" t="inlineStr">
        <is>
          <t>Merge Status</t>
        </is>
      </c>
      <c r="N1" s="20" t="inlineStr">
        <is>
          <t>Human Approval</t>
        </is>
      </c>
      <c r="O1" s="20" t="inlineStr">
        <is>
          <t>Post-Merge Verification</t>
        </is>
      </c>
      <c r="P1" s="20" t="inlineStr">
        <is>
          <t>Release Status</t>
        </is>
      </c>
    </row>
    <row r="2">
      <c r="A2" s="17" t="inlineStr">
        <is>
          <t>LS-001</t>
        </is>
      </c>
      <c r="B2" s="4">
        <f>Backlog!AA2</f>
        <v/>
      </c>
      <c r="C2" s="4" t="inlineStr">
        <is>
          <t>development</t>
        </is>
      </c>
      <c r="D2" s="4" t="inlineStr"/>
      <c r="E2" s="4" t="inlineStr">
        <is>
          <t>Not started</t>
        </is>
      </c>
      <c r="F2" s="4" t="inlineStr">
        <is>
          <t>Not started</t>
        </is>
      </c>
      <c r="G2" s="4" t="inlineStr">
        <is>
          <t>Not started</t>
        </is>
      </c>
      <c r="H2" s="4" t="inlineStr">
        <is>
          <t>Not started</t>
        </is>
      </c>
      <c r="I2" s="4" t="inlineStr">
        <is>
          <t>Not started</t>
        </is>
      </c>
      <c r="J2" s="4" t="inlineStr">
        <is>
          <t>Not started</t>
        </is>
      </c>
      <c r="K2" s="4" t="inlineStr">
        <is>
          <t>Not started</t>
        </is>
      </c>
      <c r="L2" s="4" t="inlineStr">
        <is>
          <t>Not started</t>
        </is>
      </c>
      <c r="M2" s="4" t="inlineStr">
        <is>
          <t>Not started</t>
        </is>
      </c>
      <c r="N2" s="4" t="inlineStr">
        <is>
          <t>Not started</t>
        </is>
      </c>
      <c r="O2" s="4" t="inlineStr">
        <is>
          <t>Not started</t>
        </is>
      </c>
      <c r="P2" s="4" t="inlineStr">
        <is>
          <t>Not started</t>
        </is>
      </c>
    </row>
    <row r="3">
      <c r="A3" s="17" t="inlineStr">
        <is>
          <t>LS-002</t>
        </is>
      </c>
      <c r="B3" s="4" t="inlineStr">
        <is>
          <t>– (no code)</t>
        </is>
      </c>
      <c r="C3" s="4" t="inlineStr">
        <is>
          <t>–</t>
        </is>
      </c>
      <c r="D3" s="4" t="inlineStr">
        <is>
          <t>–</t>
        </is>
      </c>
      <c r="E3" s="4" t="inlineStr">
        <is>
          <t>N/A</t>
        </is>
      </c>
      <c r="F3" s="4" t="inlineStr">
        <is>
          <t>N/A</t>
        </is>
      </c>
      <c r="G3" s="4" t="inlineStr">
        <is>
          <t>N/A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N/A</t>
        </is>
      </c>
      <c r="L3" s="4" t="inlineStr">
        <is>
          <t>N/A</t>
        </is>
      </c>
      <c r="M3" s="4" t="inlineStr">
        <is>
          <t>N/A</t>
        </is>
      </c>
      <c r="N3" s="4" t="inlineStr">
        <is>
          <t>N/A</t>
        </is>
      </c>
      <c r="O3" s="4" t="inlineStr">
        <is>
          <t>N/A</t>
        </is>
      </c>
      <c r="P3" s="4" t="inlineStr">
        <is>
          <t>N/A</t>
        </is>
      </c>
    </row>
    <row r="4">
      <c r="A4" s="17" t="inlineStr">
        <is>
          <t>LS-003</t>
        </is>
      </c>
      <c r="B4" s="4">
        <f>Backlog!AA4</f>
        <v/>
      </c>
      <c r="C4" s="4" t="inlineStr">
        <is>
          <t>development</t>
        </is>
      </c>
      <c r="D4" s="4" t="inlineStr"/>
      <c r="E4" s="4" t="inlineStr">
        <is>
          <t>Not started</t>
        </is>
      </c>
      <c r="F4" s="4" t="inlineStr">
        <is>
          <t>Not started</t>
        </is>
      </c>
      <c r="G4" s="4" t="inlineStr">
        <is>
          <t>Not started</t>
        </is>
      </c>
      <c r="H4" s="4" t="inlineStr">
        <is>
          <t>Not started</t>
        </is>
      </c>
      <c r="I4" s="4" t="inlineStr">
        <is>
          <t>Not started</t>
        </is>
      </c>
      <c r="J4" s="4" t="inlineStr">
        <is>
          <t>Not started</t>
        </is>
      </c>
      <c r="K4" s="4" t="inlineStr">
        <is>
          <t>Not started</t>
        </is>
      </c>
      <c r="L4" s="4" t="inlineStr">
        <is>
          <t>Not started</t>
        </is>
      </c>
      <c r="M4" s="4" t="inlineStr">
        <is>
          <t>Not started</t>
        </is>
      </c>
      <c r="N4" s="4" t="inlineStr">
        <is>
          <t>Not started</t>
        </is>
      </c>
      <c r="O4" s="4" t="inlineStr">
        <is>
          <t>Not started</t>
        </is>
      </c>
      <c r="P4" s="4" t="inlineStr">
        <is>
          <t>Not started</t>
        </is>
      </c>
    </row>
    <row r="5">
      <c r="A5" s="17" t="inlineStr">
        <is>
          <t>LS-004</t>
        </is>
      </c>
      <c r="B5" s="4">
        <f>Backlog!AA5</f>
        <v/>
      </c>
      <c r="C5" s="4" t="inlineStr">
        <is>
          <t>development</t>
        </is>
      </c>
      <c r="D5" s="4" t="inlineStr"/>
      <c r="E5" s="4" t="inlineStr">
        <is>
          <t>Not started</t>
        </is>
      </c>
      <c r="F5" s="4" t="inlineStr">
        <is>
          <t>Not started</t>
        </is>
      </c>
      <c r="G5" s="4" t="inlineStr">
        <is>
          <t>Not started</t>
        </is>
      </c>
      <c r="H5" s="4" t="inlineStr">
        <is>
          <t>Not started</t>
        </is>
      </c>
      <c r="I5" s="4" t="inlineStr">
        <is>
          <t>Not started</t>
        </is>
      </c>
      <c r="J5" s="4" t="inlineStr">
        <is>
          <t>Not started</t>
        </is>
      </c>
      <c r="K5" s="4" t="inlineStr">
        <is>
          <t>Not started</t>
        </is>
      </c>
      <c r="L5" s="4" t="inlineStr">
        <is>
          <t>Not started</t>
        </is>
      </c>
      <c r="M5" s="4" t="inlineStr">
        <is>
          <t>Not started</t>
        </is>
      </c>
      <c r="N5" s="4" t="inlineStr">
        <is>
          <t>Not started</t>
        </is>
      </c>
      <c r="O5" s="4" t="inlineStr">
        <is>
          <t>Not started</t>
        </is>
      </c>
      <c r="P5" s="4" t="inlineStr">
        <is>
          <t>Not started</t>
        </is>
      </c>
    </row>
    <row r="6">
      <c r="A6" s="17" t="inlineStr">
        <is>
          <t>LS-005</t>
        </is>
      </c>
      <c r="B6" s="4">
        <f>Backlog!AA6</f>
        <v/>
      </c>
      <c r="C6" s="4" t="inlineStr">
        <is>
          <t>development</t>
        </is>
      </c>
      <c r="D6" s="4" t="inlineStr"/>
      <c r="E6" s="4" t="inlineStr">
        <is>
          <t>Not started</t>
        </is>
      </c>
      <c r="F6" s="4" t="inlineStr">
        <is>
          <t>Not started</t>
        </is>
      </c>
      <c r="G6" s="4" t="inlineStr">
        <is>
          <t>Not started</t>
        </is>
      </c>
      <c r="H6" s="4" t="inlineStr">
        <is>
          <t>Not started</t>
        </is>
      </c>
      <c r="I6" s="4" t="inlineStr">
        <is>
          <t>Not started</t>
        </is>
      </c>
      <c r="J6" s="4" t="inlineStr">
        <is>
          <t>Not started</t>
        </is>
      </c>
      <c r="K6" s="4" t="inlineStr">
        <is>
          <t>Not started</t>
        </is>
      </c>
      <c r="L6" s="4" t="inlineStr">
        <is>
          <t>Not started</t>
        </is>
      </c>
      <c r="M6" s="4" t="inlineStr">
        <is>
          <t>Not started</t>
        </is>
      </c>
      <c r="N6" s="4" t="inlineStr">
        <is>
          <t>Not started</t>
        </is>
      </c>
      <c r="O6" s="4" t="inlineStr">
        <is>
          <t>Not started</t>
        </is>
      </c>
      <c r="P6" s="4" t="inlineStr">
        <is>
          <t>Not started</t>
        </is>
      </c>
    </row>
    <row r="7">
      <c r="A7" s="17" t="inlineStr">
        <is>
          <t>LS-006</t>
        </is>
      </c>
      <c r="B7" s="4">
        <f>Backlog!AA7</f>
        <v/>
      </c>
      <c r="C7" s="4" t="inlineStr">
        <is>
          <t>development</t>
        </is>
      </c>
      <c r="D7" s="4" t="inlineStr"/>
      <c r="E7" s="4" t="inlineStr">
        <is>
          <t>Not started</t>
        </is>
      </c>
      <c r="F7" s="4" t="inlineStr">
        <is>
          <t>Not started</t>
        </is>
      </c>
      <c r="G7" s="4" t="inlineStr">
        <is>
          <t>Not started</t>
        </is>
      </c>
      <c r="H7" s="4" t="inlineStr">
        <is>
          <t>Not started</t>
        </is>
      </c>
      <c r="I7" s="4" t="inlineStr">
        <is>
          <t>Not started</t>
        </is>
      </c>
      <c r="J7" s="4" t="inlineStr">
        <is>
          <t>Not started</t>
        </is>
      </c>
      <c r="K7" s="4" t="inlineStr">
        <is>
          <t>Not started</t>
        </is>
      </c>
      <c r="L7" s="4" t="inlineStr">
        <is>
          <t>Not started</t>
        </is>
      </c>
      <c r="M7" s="4" t="inlineStr">
        <is>
          <t>Not started</t>
        </is>
      </c>
      <c r="N7" s="4" t="inlineStr">
        <is>
          <t>Not started</t>
        </is>
      </c>
      <c r="O7" s="4" t="inlineStr">
        <is>
          <t>Not started</t>
        </is>
      </c>
      <c r="P7" s="4" t="inlineStr">
        <is>
          <t>Not started</t>
        </is>
      </c>
    </row>
    <row r="8">
      <c r="A8" s="17" t="inlineStr">
        <is>
          <t>LS-007</t>
        </is>
      </c>
      <c r="B8" s="4">
        <f>Backlog!AA8</f>
        <v/>
      </c>
      <c r="C8" s="4" t="inlineStr">
        <is>
          <t>development</t>
        </is>
      </c>
      <c r="D8" s="4" t="inlineStr"/>
      <c r="E8" s="4" t="inlineStr">
        <is>
          <t>Not started</t>
        </is>
      </c>
      <c r="F8" s="4" t="inlineStr">
        <is>
          <t>Not started</t>
        </is>
      </c>
      <c r="G8" s="4" t="inlineStr">
        <is>
          <t>Not started</t>
        </is>
      </c>
      <c r="H8" s="4" t="inlineStr">
        <is>
          <t>Not started</t>
        </is>
      </c>
      <c r="I8" s="4" t="inlineStr">
        <is>
          <t>Not started</t>
        </is>
      </c>
      <c r="J8" s="4" t="inlineStr">
        <is>
          <t>Not started</t>
        </is>
      </c>
      <c r="K8" s="4" t="inlineStr">
        <is>
          <t>Not started</t>
        </is>
      </c>
      <c r="L8" s="4" t="inlineStr">
        <is>
          <t>Not started</t>
        </is>
      </c>
      <c r="M8" s="4" t="inlineStr">
        <is>
          <t>Not started</t>
        </is>
      </c>
      <c r="N8" s="4" t="inlineStr">
        <is>
          <t>Not started</t>
        </is>
      </c>
      <c r="O8" s="4" t="inlineStr">
        <is>
          <t>Not started</t>
        </is>
      </c>
      <c r="P8" s="4" t="inlineStr">
        <is>
          <t>Not started</t>
        </is>
      </c>
    </row>
    <row r="9">
      <c r="A9" s="17" t="inlineStr">
        <is>
          <t>LS-008</t>
        </is>
      </c>
      <c r="B9" s="4">
        <f>Backlog!AA9</f>
        <v/>
      </c>
      <c r="C9" s="4" t="inlineStr">
        <is>
          <t>development</t>
        </is>
      </c>
      <c r="D9" s="4" t="inlineStr"/>
      <c r="E9" s="4" t="inlineStr">
        <is>
          <t>Not started</t>
        </is>
      </c>
      <c r="F9" s="4" t="inlineStr">
        <is>
          <t>Not started</t>
        </is>
      </c>
      <c r="G9" s="4" t="inlineStr">
        <is>
          <t>Not started</t>
        </is>
      </c>
      <c r="H9" s="4" t="inlineStr">
        <is>
          <t>Not started</t>
        </is>
      </c>
      <c r="I9" s="4" t="inlineStr">
        <is>
          <t>Not started</t>
        </is>
      </c>
      <c r="J9" s="4" t="inlineStr">
        <is>
          <t>Not started</t>
        </is>
      </c>
      <c r="K9" s="4" t="inlineStr">
        <is>
          <t>Not started</t>
        </is>
      </c>
      <c r="L9" s="4" t="inlineStr">
        <is>
          <t>Not started</t>
        </is>
      </c>
      <c r="M9" s="4" t="inlineStr">
        <is>
          <t>Not started</t>
        </is>
      </c>
      <c r="N9" s="4" t="inlineStr">
        <is>
          <t>Not started</t>
        </is>
      </c>
      <c r="O9" s="4" t="inlineStr">
        <is>
          <t>Not started</t>
        </is>
      </c>
      <c r="P9" s="4" t="inlineStr">
        <is>
          <t>Not started</t>
        </is>
      </c>
    </row>
    <row r="10">
      <c r="A10" s="17" t="inlineStr">
        <is>
          <t>LS-010</t>
        </is>
      </c>
      <c r="B10" s="4">
        <f>Backlog!AA10</f>
        <v/>
      </c>
      <c r="C10" s="4" t="inlineStr">
        <is>
          <t>development</t>
        </is>
      </c>
      <c r="D10" s="4" t="inlineStr"/>
      <c r="E10" s="4" t="inlineStr">
        <is>
          <t>Not started</t>
        </is>
      </c>
      <c r="F10" s="4" t="inlineStr">
        <is>
          <t>Not started</t>
        </is>
      </c>
      <c r="G10" s="4" t="inlineStr">
        <is>
          <t>Not started</t>
        </is>
      </c>
      <c r="H10" s="4" t="inlineStr">
        <is>
          <t>Not started</t>
        </is>
      </c>
      <c r="I10" s="4" t="inlineStr">
        <is>
          <t>Not started</t>
        </is>
      </c>
      <c r="J10" s="4" t="inlineStr">
        <is>
          <t>Not started</t>
        </is>
      </c>
      <c r="K10" s="4" t="inlineStr">
        <is>
          <t>Not started</t>
        </is>
      </c>
      <c r="L10" s="4" t="inlineStr">
        <is>
          <t>Not started</t>
        </is>
      </c>
      <c r="M10" s="4" t="inlineStr">
        <is>
          <t>Not started</t>
        </is>
      </c>
      <c r="N10" s="4" t="inlineStr">
        <is>
          <t>Not started</t>
        </is>
      </c>
      <c r="O10" s="4" t="inlineStr">
        <is>
          <t>Not started</t>
        </is>
      </c>
      <c r="P10" s="4" t="inlineStr">
        <is>
          <t>Not started</t>
        </is>
      </c>
    </row>
    <row r="11">
      <c r="A11" s="17" t="inlineStr">
        <is>
          <t>LS-011</t>
        </is>
      </c>
      <c r="B11" s="4">
        <f>Backlog!AA11</f>
        <v/>
      </c>
      <c r="C11" s="4" t="inlineStr">
        <is>
          <t>development</t>
        </is>
      </c>
      <c r="D11" s="4" t="inlineStr"/>
      <c r="E11" s="4" t="inlineStr">
        <is>
          <t>Not started</t>
        </is>
      </c>
      <c r="F11" s="4" t="inlineStr">
        <is>
          <t>Not started</t>
        </is>
      </c>
      <c r="G11" s="4" t="inlineStr">
        <is>
          <t>Not started</t>
        </is>
      </c>
      <c r="H11" s="4" t="inlineStr">
        <is>
          <t>Not started</t>
        </is>
      </c>
      <c r="I11" s="4" t="inlineStr">
        <is>
          <t>Not started</t>
        </is>
      </c>
      <c r="J11" s="4" t="inlineStr">
        <is>
          <t>Not started</t>
        </is>
      </c>
      <c r="K11" s="4" t="inlineStr">
        <is>
          <t>Not started</t>
        </is>
      </c>
      <c r="L11" s="4" t="inlineStr">
        <is>
          <t>Not started</t>
        </is>
      </c>
      <c r="M11" s="4" t="inlineStr">
        <is>
          <t>Not started</t>
        </is>
      </c>
      <c r="N11" s="4" t="inlineStr">
        <is>
          <t>Not started</t>
        </is>
      </c>
      <c r="O11" s="4" t="inlineStr">
        <is>
          <t>Not started</t>
        </is>
      </c>
      <c r="P11" s="4" t="inlineStr">
        <is>
          <t>Not started</t>
        </is>
      </c>
    </row>
    <row r="12">
      <c r="A12" s="17" t="inlineStr">
        <is>
          <t>LS-012</t>
        </is>
      </c>
      <c r="B12" s="4">
        <f>Backlog!AA12</f>
        <v/>
      </c>
      <c r="C12" s="4" t="inlineStr">
        <is>
          <t>development</t>
        </is>
      </c>
      <c r="D12" s="4" t="inlineStr"/>
      <c r="E12" s="4" t="inlineStr">
        <is>
          <t>Not started</t>
        </is>
      </c>
      <c r="F12" s="4" t="inlineStr">
        <is>
          <t>Not started</t>
        </is>
      </c>
      <c r="G12" s="4" t="inlineStr">
        <is>
          <t>Not started</t>
        </is>
      </c>
      <c r="H12" s="4" t="inlineStr">
        <is>
          <t>Not started</t>
        </is>
      </c>
      <c r="I12" s="4" t="inlineStr">
        <is>
          <t>Not started</t>
        </is>
      </c>
      <c r="J12" s="4" t="inlineStr">
        <is>
          <t>Not started</t>
        </is>
      </c>
      <c r="K12" s="4" t="inlineStr">
        <is>
          <t>Not started</t>
        </is>
      </c>
      <c r="L12" s="4" t="inlineStr">
        <is>
          <t>Not started</t>
        </is>
      </c>
      <c r="M12" s="4" t="inlineStr">
        <is>
          <t>Not started</t>
        </is>
      </c>
      <c r="N12" s="4" t="inlineStr">
        <is>
          <t>Not started</t>
        </is>
      </c>
      <c r="O12" s="4" t="inlineStr">
        <is>
          <t>Not started</t>
        </is>
      </c>
      <c r="P12" s="4" t="inlineStr">
        <is>
          <t>Not started</t>
        </is>
      </c>
    </row>
    <row r="13">
      <c r="A13" s="17" t="inlineStr">
        <is>
          <t>LS-013</t>
        </is>
      </c>
      <c r="B13" s="4">
        <f>Backlog!AA13</f>
        <v/>
      </c>
      <c r="C13" s="4" t="inlineStr">
        <is>
          <t>development</t>
        </is>
      </c>
      <c r="D13" s="4" t="inlineStr"/>
      <c r="E13" s="4" t="inlineStr">
        <is>
          <t>Not started</t>
        </is>
      </c>
      <c r="F13" s="4" t="inlineStr">
        <is>
          <t>Not started</t>
        </is>
      </c>
      <c r="G13" s="4" t="inlineStr">
        <is>
          <t>Not started</t>
        </is>
      </c>
      <c r="H13" s="4" t="inlineStr">
        <is>
          <t>Not started</t>
        </is>
      </c>
      <c r="I13" s="4" t="inlineStr">
        <is>
          <t>Not started</t>
        </is>
      </c>
      <c r="J13" s="4" t="inlineStr">
        <is>
          <t>Not started</t>
        </is>
      </c>
      <c r="K13" s="4" t="inlineStr">
        <is>
          <t>Not started</t>
        </is>
      </c>
      <c r="L13" s="4" t="inlineStr">
        <is>
          <t>Not started</t>
        </is>
      </c>
      <c r="M13" s="4" t="inlineStr">
        <is>
          <t>Not started</t>
        </is>
      </c>
      <c r="N13" s="4" t="inlineStr">
        <is>
          <t>Not started</t>
        </is>
      </c>
      <c r="O13" s="4" t="inlineStr">
        <is>
          <t>Not started</t>
        </is>
      </c>
      <c r="P13" s="4" t="inlineStr">
        <is>
          <t>Not started</t>
        </is>
      </c>
    </row>
    <row r="14">
      <c r="A14" s="17" t="inlineStr">
        <is>
          <t>LS-014</t>
        </is>
      </c>
      <c r="B14" s="4">
        <f>Backlog!AA14</f>
        <v/>
      </c>
      <c r="C14" s="4" t="inlineStr">
        <is>
          <t>development</t>
        </is>
      </c>
      <c r="D14" s="4" t="inlineStr"/>
      <c r="E14" s="4" t="inlineStr">
        <is>
          <t>Not started</t>
        </is>
      </c>
      <c r="F14" s="4" t="inlineStr">
        <is>
          <t>Not started</t>
        </is>
      </c>
      <c r="G14" s="4" t="inlineStr">
        <is>
          <t>Not started</t>
        </is>
      </c>
      <c r="H14" s="4" t="inlineStr">
        <is>
          <t>Not started</t>
        </is>
      </c>
      <c r="I14" s="4" t="inlineStr">
        <is>
          <t>Not started</t>
        </is>
      </c>
      <c r="J14" s="4" t="inlineStr">
        <is>
          <t>Not started</t>
        </is>
      </c>
      <c r="K14" s="4" t="inlineStr">
        <is>
          <t>Not started</t>
        </is>
      </c>
      <c r="L14" s="4" t="inlineStr">
        <is>
          <t>Not started</t>
        </is>
      </c>
      <c r="M14" s="4" t="inlineStr">
        <is>
          <t>Not started</t>
        </is>
      </c>
      <c r="N14" s="4" t="inlineStr">
        <is>
          <t>Not started</t>
        </is>
      </c>
      <c r="O14" s="4" t="inlineStr">
        <is>
          <t>Not started</t>
        </is>
      </c>
      <c r="P14" s="4" t="inlineStr">
        <is>
          <t>Not started</t>
        </is>
      </c>
    </row>
    <row r="15">
      <c r="A15" s="17" t="inlineStr">
        <is>
          <t>LS-015</t>
        </is>
      </c>
      <c r="B15" s="4">
        <f>Backlog!AA15</f>
        <v/>
      </c>
      <c r="C15" s="4" t="inlineStr">
        <is>
          <t>development</t>
        </is>
      </c>
      <c r="D15" s="4" t="inlineStr"/>
      <c r="E15" s="4" t="inlineStr">
        <is>
          <t>Not started</t>
        </is>
      </c>
      <c r="F15" s="4" t="inlineStr">
        <is>
          <t>Not started</t>
        </is>
      </c>
      <c r="G15" s="4" t="inlineStr">
        <is>
          <t>Not started</t>
        </is>
      </c>
      <c r="H15" s="4" t="inlineStr">
        <is>
          <t>Not started</t>
        </is>
      </c>
      <c r="I15" s="4" t="inlineStr">
        <is>
          <t>Not started</t>
        </is>
      </c>
      <c r="J15" s="4" t="inlineStr">
        <is>
          <t>Not started</t>
        </is>
      </c>
      <c r="K15" s="4" t="inlineStr">
        <is>
          <t>Not started</t>
        </is>
      </c>
      <c r="L15" s="4" t="inlineStr">
        <is>
          <t>Not started</t>
        </is>
      </c>
      <c r="M15" s="4" t="inlineStr">
        <is>
          <t>Not started</t>
        </is>
      </c>
      <c r="N15" s="4" t="inlineStr">
        <is>
          <t>Not started</t>
        </is>
      </c>
      <c r="O15" s="4" t="inlineStr">
        <is>
          <t>Not started</t>
        </is>
      </c>
      <c r="P15" s="4" t="inlineStr">
        <is>
          <t>Not started</t>
        </is>
      </c>
    </row>
    <row r="16">
      <c r="A16" s="17" t="inlineStr">
        <is>
          <t>LS-016</t>
        </is>
      </c>
      <c r="B16" s="4">
        <f>Backlog!AA16</f>
        <v/>
      </c>
      <c r="C16" s="4" t="inlineStr">
        <is>
          <t>development</t>
        </is>
      </c>
      <c r="D16" s="4" t="inlineStr"/>
      <c r="E16" s="4" t="inlineStr">
        <is>
          <t>Not started</t>
        </is>
      </c>
      <c r="F16" s="4" t="inlineStr">
        <is>
          <t>Not started</t>
        </is>
      </c>
      <c r="G16" s="4" t="inlineStr">
        <is>
          <t>Not started</t>
        </is>
      </c>
      <c r="H16" s="4" t="inlineStr">
        <is>
          <t>Not started</t>
        </is>
      </c>
      <c r="I16" s="4" t="inlineStr">
        <is>
          <t>Not started</t>
        </is>
      </c>
      <c r="J16" s="4" t="inlineStr">
        <is>
          <t>Not started</t>
        </is>
      </c>
      <c r="K16" s="4" t="inlineStr">
        <is>
          <t>Not started</t>
        </is>
      </c>
      <c r="L16" s="4" t="inlineStr">
        <is>
          <t>Not started</t>
        </is>
      </c>
      <c r="M16" s="4" t="inlineStr">
        <is>
          <t>Not started</t>
        </is>
      </c>
      <c r="N16" s="4" t="inlineStr">
        <is>
          <t>Not started</t>
        </is>
      </c>
      <c r="O16" s="4" t="inlineStr">
        <is>
          <t>Not started</t>
        </is>
      </c>
      <c r="P16" s="4" t="inlineStr">
        <is>
          <t>Not started</t>
        </is>
      </c>
    </row>
    <row r="17">
      <c r="A17" s="17" t="inlineStr">
        <is>
          <t>LS-017</t>
        </is>
      </c>
      <c r="B17" s="4">
        <f>Backlog!AA17</f>
        <v/>
      </c>
      <c r="C17" s="4" t="inlineStr">
        <is>
          <t>development</t>
        </is>
      </c>
      <c r="D17" s="4" t="inlineStr"/>
      <c r="E17" s="4" t="inlineStr">
        <is>
          <t>Not started</t>
        </is>
      </c>
      <c r="F17" s="4" t="inlineStr">
        <is>
          <t>Not started</t>
        </is>
      </c>
      <c r="G17" s="4" t="inlineStr">
        <is>
          <t>Not started</t>
        </is>
      </c>
      <c r="H17" s="4" t="inlineStr">
        <is>
          <t>Not started</t>
        </is>
      </c>
      <c r="I17" s="4" t="inlineStr">
        <is>
          <t>Not started</t>
        </is>
      </c>
      <c r="J17" s="4" t="inlineStr">
        <is>
          <t>Not started</t>
        </is>
      </c>
      <c r="K17" s="4" t="inlineStr">
        <is>
          <t>Not started</t>
        </is>
      </c>
      <c r="L17" s="4" t="inlineStr">
        <is>
          <t>Not started</t>
        </is>
      </c>
      <c r="M17" s="4" t="inlineStr">
        <is>
          <t>Not started</t>
        </is>
      </c>
      <c r="N17" s="4" t="inlineStr">
        <is>
          <t>Not started</t>
        </is>
      </c>
      <c r="O17" s="4" t="inlineStr">
        <is>
          <t>Not started</t>
        </is>
      </c>
      <c r="P17" s="4" t="inlineStr">
        <is>
          <t>Not started</t>
        </is>
      </c>
    </row>
    <row r="18">
      <c r="A18" s="17" t="inlineStr">
        <is>
          <t>LS-018</t>
        </is>
      </c>
      <c r="B18" s="4">
        <f>Backlog!AA18</f>
        <v/>
      </c>
      <c r="C18" s="4" t="inlineStr">
        <is>
          <t>development</t>
        </is>
      </c>
      <c r="D18" s="4" t="inlineStr"/>
      <c r="E18" s="4" t="inlineStr">
        <is>
          <t>Not started</t>
        </is>
      </c>
      <c r="F18" s="4" t="inlineStr">
        <is>
          <t>Not started</t>
        </is>
      </c>
      <c r="G18" s="4" t="inlineStr">
        <is>
          <t>Not started</t>
        </is>
      </c>
      <c r="H18" s="4" t="inlineStr">
        <is>
          <t>Not started</t>
        </is>
      </c>
      <c r="I18" s="4" t="inlineStr">
        <is>
          <t>Not started</t>
        </is>
      </c>
      <c r="J18" s="4" t="inlineStr">
        <is>
          <t>Not started</t>
        </is>
      </c>
      <c r="K18" s="4" t="inlineStr">
        <is>
          <t>Not started</t>
        </is>
      </c>
      <c r="L18" s="4" t="inlineStr">
        <is>
          <t>Not started</t>
        </is>
      </c>
      <c r="M18" s="4" t="inlineStr">
        <is>
          <t>Not started</t>
        </is>
      </c>
      <c r="N18" s="4" t="inlineStr">
        <is>
          <t>Not started</t>
        </is>
      </c>
      <c r="O18" s="4" t="inlineStr">
        <is>
          <t>Not started</t>
        </is>
      </c>
      <c r="P18" s="4" t="inlineStr">
        <is>
          <t>Not started</t>
        </is>
      </c>
    </row>
    <row r="19">
      <c r="A19" s="17" t="inlineStr">
        <is>
          <t>LS-019</t>
        </is>
      </c>
      <c r="B19" s="4">
        <f>Backlog!AA19</f>
        <v/>
      </c>
      <c r="C19" s="4" t="inlineStr">
        <is>
          <t>development</t>
        </is>
      </c>
      <c r="D19" s="4" t="inlineStr"/>
      <c r="E19" s="4" t="inlineStr">
        <is>
          <t>Not started</t>
        </is>
      </c>
      <c r="F19" s="4" t="inlineStr">
        <is>
          <t>Not started</t>
        </is>
      </c>
      <c r="G19" s="4" t="inlineStr">
        <is>
          <t>Not started</t>
        </is>
      </c>
      <c r="H19" s="4" t="inlineStr">
        <is>
          <t>Not started</t>
        </is>
      </c>
      <c r="I19" s="4" t="inlineStr">
        <is>
          <t>Not started</t>
        </is>
      </c>
      <c r="J19" s="4" t="inlineStr">
        <is>
          <t>Not started</t>
        </is>
      </c>
      <c r="K19" s="4" t="inlineStr">
        <is>
          <t>Not started</t>
        </is>
      </c>
      <c r="L19" s="4" t="inlineStr">
        <is>
          <t>Not started</t>
        </is>
      </c>
      <c r="M19" s="4" t="inlineStr">
        <is>
          <t>Not started</t>
        </is>
      </c>
      <c r="N19" s="4" t="inlineStr">
        <is>
          <t>Not started</t>
        </is>
      </c>
      <c r="O19" s="4" t="inlineStr">
        <is>
          <t>Not started</t>
        </is>
      </c>
      <c r="P19" s="4" t="inlineStr">
        <is>
          <t>Not started</t>
        </is>
      </c>
    </row>
    <row r="20">
      <c r="A20" s="17" t="inlineStr">
        <is>
          <t>LS-020</t>
        </is>
      </c>
      <c r="B20" s="4">
        <f>Backlog!AA20</f>
        <v/>
      </c>
      <c r="C20" s="4" t="inlineStr">
        <is>
          <t>development</t>
        </is>
      </c>
      <c r="D20" s="4" t="inlineStr"/>
      <c r="E20" s="4" t="inlineStr">
        <is>
          <t>Not started</t>
        </is>
      </c>
      <c r="F20" s="4" t="inlineStr">
        <is>
          <t>Not started</t>
        </is>
      </c>
      <c r="G20" s="4" t="inlineStr">
        <is>
          <t>Not started</t>
        </is>
      </c>
      <c r="H20" s="4" t="inlineStr">
        <is>
          <t>Not started</t>
        </is>
      </c>
      <c r="I20" s="4" t="inlineStr">
        <is>
          <t>Not started</t>
        </is>
      </c>
      <c r="J20" s="4" t="inlineStr">
        <is>
          <t>Not started</t>
        </is>
      </c>
      <c r="K20" s="4" t="inlineStr">
        <is>
          <t>Not started</t>
        </is>
      </c>
      <c r="L20" s="4" t="inlineStr">
        <is>
          <t>Not started</t>
        </is>
      </c>
      <c r="M20" s="4" t="inlineStr">
        <is>
          <t>Not started</t>
        </is>
      </c>
      <c r="N20" s="4" t="inlineStr">
        <is>
          <t>Not started</t>
        </is>
      </c>
      <c r="O20" s="4" t="inlineStr">
        <is>
          <t>Not started</t>
        </is>
      </c>
      <c r="P20" s="4" t="inlineStr">
        <is>
          <t>Not started</t>
        </is>
      </c>
    </row>
    <row r="21">
      <c r="A21" s="17" t="inlineStr">
        <is>
          <t>LS-030</t>
        </is>
      </c>
      <c r="B21" s="4">
        <f>Backlog!AA21</f>
        <v/>
      </c>
      <c r="C21" s="4" t="inlineStr">
        <is>
          <t>development</t>
        </is>
      </c>
      <c r="D21" s="4" t="inlineStr"/>
      <c r="E21" s="4" t="inlineStr">
        <is>
          <t>Not started</t>
        </is>
      </c>
      <c r="F21" s="4" t="inlineStr">
        <is>
          <t>Not started</t>
        </is>
      </c>
      <c r="G21" s="4" t="inlineStr">
        <is>
          <t>Not started</t>
        </is>
      </c>
      <c r="H21" s="4" t="inlineStr">
        <is>
          <t>Not started</t>
        </is>
      </c>
      <c r="I21" s="4" t="inlineStr">
        <is>
          <t>Not started</t>
        </is>
      </c>
      <c r="J21" s="4" t="inlineStr">
        <is>
          <t>Not started</t>
        </is>
      </c>
      <c r="K21" s="4" t="inlineStr">
        <is>
          <t>Not started</t>
        </is>
      </c>
      <c r="L21" s="4" t="inlineStr">
        <is>
          <t>Not started</t>
        </is>
      </c>
      <c r="M21" s="4" t="inlineStr">
        <is>
          <t>Not started</t>
        </is>
      </c>
      <c r="N21" s="4" t="inlineStr">
        <is>
          <t>Not started</t>
        </is>
      </c>
      <c r="O21" s="4" t="inlineStr">
        <is>
          <t>Not started</t>
        </is>
      </c>
      <c r="P21" s="4" t="inlineStr">
        <is>
          <t>Not started</t>
        </is>
      </c>
    </row>
    <row r="22">
      <c r="A22" s="17" t="inlineStr">
        <is>
          <t>LS-031</t>
        </is>
      </c>
      <c r="B22" s="4">
        <f>Backlog!AA22</f>
        <v/>
      </c>
      <c r="C22" s="4" t="inlineStr">
        <is>
          <t>development</t>
        </is>
      </c>
      <c r="D22" s="4" t="inlineStr"/>
      <c r="E22" s="4" t="inlineStr">
        <is>
          <t>Not started</t>
        </is>
      </c>
      <c r="F22" s="4" t="inlineStr">
        <is>
          <t>Not started</t>
        </is>
      </c>
      <c r="G22" s="4" t="inlineStr">
        <is>
          <t>Not started</t>
        </is>
      </c>
      <c r="H22" s="4" t="inlineStr">
        <is>
          <t>Not started</t>
        </is>
      </c>
      <c r="I22" s="4" t="inlineStr">
        <is>
          <t>Not started</t>
        </is>
      </c>
      <c r="J22" s="4" t="inlineStr">
        <is>
          <t>Not started</t>
        </is>
      </c>
      <c r="K22" s="4" t="inlineStr">
        <is>
          <t>Not started</t>
        </is>
      </c>
      <c r="L22" s="4" t="inlineStr">
        <is>
          <t>Not started</t>
        </is>
      </c>
      <c r="M22" s="4" t="inlineStr">
        <is>
          <t>Not started</t>
        </is>
      </c>
      <c r="N22" s="4" t="inlineStr">
        <is>
          <t>Not started</t>
        </is>
      </c>
      <c r="O22" s="4" t="inlineStr">
        <is>
          <t>Not started</t>
        </is>
      </c>
      <c r="P22" s="4" t="inlineStr">
        <is>
          <t>Not started</t>
        </is>
      </c>
    </row>
    <row r="23">
      <c r="A23" s="17" t="inlineStr">
        <is>
          <t>LS-032</t>
        </is>
      </c>
      <c r="B23" s="4">
        <f>Backlog!AA23</f>
        <v/>
      </c>
      <c r="C23" s="4" t="inlineStr">
        <is>
          <t>development</t>
        </is>
      </c>
      <c r="D23" s="4" t="inlineStr"/>
      <c r="E23" s="4" t="inlineStr">
        <is>
          <t>Not started</t>
        </is>
      </c>
      <c r="F23" s="4" t="inlineStr">
        <is>
          <t>Not started</t>
        </is>
      </c>
      <c r="G23" s="4" t="inlineStr">
        <is>
          <t>Not started</t>
        </is>
      </c>
      <c r="H23" s="4" t="inlineStr">
        <is>
          <t>Not started</t>
        </is>
      </c>
      <c r="I23" s="4" t="inlineStr">
        <is>
          <t>Not started</t>
        </is>
      </c>
      <c r="J23" s="4" t="inlineStr">
        <is>
          <t>Not started</t>
        </is>
      </c>
      <c r="K23" s="4" t="inlineStr">
        <is>
          <t>Not started</t>
        </is>
      </c>
      <c r="L23" s="4" t="inlineStr">
        <is>
          <t>Not started</t>
        </is>
      </c>
      <c r="M23" s="4" t="inlineStr">
        <is>
          <t>Not started</t>
        </is>
      </c>
      <c r="N23" s="4" t="inlineStr">
        <is>
          <t>Not started</t>
        </is>
      </c>
      <c r="O23" s="4" t="inlineStr">
        <is>
          <t>Not started</t>
        </is>
      </c>
      <c r="P23" s="4" t="inlineStr">
        <is>
          <t>Not started</t>
        </is>
      </c>
    </row>
    <row r="24">
      <c r="A24" s="17" t="inlineStr">
        <is>
          <t>LS-033</t>
        </is>
      </c>
      <c r="B24" s="4">
        <f>Backlog!AA24</f>
        <v/>
      </c>
      <c r="C24" s="4" t="inlineStr">
        <is>
          <t>development</t>
        </is>
      </c>
      <c r="D24" s="4" t="inlineStr"/>
      <c r="E24" s="4" t="inlineStr">
        <is>
          <t>Not started</t>
        </is>
      </c>
      <c r="F24" s="4" t="inlineStr">
        <is>
          <t>Not started</t>
        </is>
      </c>
      <c r="G24" s="4" t="inlineStr">
        <is>
          <t>Not started</t>
        </is>
      </c>
      <c r="H24" s="4" t="inlineStr">
        <is>
          <t>Not started</t>
        </is>
      </c>
      <c r="I24" s="4" t="inlineStr">
        <is>
          <t>Not started</t>
        </is>
      </c>
      <c r="J24" s="4" t="inlineStr">
        <is>
          <t>Not started</t>
        </is>
      </c>
      <c r="K24" s="4" t="inlineStr">
        <is>
          <t>Not started</t>
        </is>
      </c>
      <c r="L24" s="4" t="inlineStr">
        <is>
          <t>Not started</t>
        </is>
      </c>
      <c r="M24" s="4" t="inlineStr">
        <is>
          <t>Not started</t>
        </is>
      </c>
      <c r="N24" s="4" t="inlineStr">
        <is>
          <t>Not started</t>
        </is>
      </c>
      <c r="O24" s="4" t="inlineStr">
        <is>
          <t>Not started</t>
        </is>
      </c>
      <c r="P24" s="4" t="inlineStr">
        <is>
          <t>Not started</t>
        </is>
      </c>
    </row>
    <row r="25">
      <c r="A25" s="17" t="inlineStr">
        <is>
          <t>LS-034</t>
        </is>
      </c>
      <c r="B25" s="4">
        <f>Backlog!AA25</f>
        <v/>
      </c>
      <c r="C25" s="4" t="inlineStr">
        <is>
          <t>development</t>
        </is>
      </c>
      <c r="D25" s="4" t="inlineStr"/>
      <c r="E25" s="4" t="inlineStr">
        <is>
          <t>Not started</t>
        </is>
      </c>
      <c r="F25" s="4" t="inlineStr">
        <is>
          <t>Not started</t>
        </is>
      </c>
      <c r="G25" s="4" t="inlineStr">
        <is>
          <t>Not started</t>
        </is>
      </c>
      <c r="H25" s="4" t="inlineStr">
        <is>
          <t>Not started</t>
        </is>
      </c>
      <c r="I25" s="4" t="inlineStr">
        <is>
          <t>Not started</t>
        </is>
      </c>
      <c r="J25" s="4" t="inlineStr">
        <is>
          <t>Not started</t>
        </is>
      </c>
      <c r="K25" s="4" t="inlineStr">
        <is>
          <t>Not started</t>
        </is>
      </c>
      <c r="L25" s="4" t="inlineStr">
        <is>
          <t>Not started</t>
        </is>
      </c>
      <c r="M25" s="4" t="inlineStr">
        <is>
          <t>Not started</t>
        </is>
      </c>
      <c r="N25" s="4" t="inlineStr">
        <is>
          <t>Not started</t>
        </is>
      </c>
      <c r="O25" s="4" t="inlineStr">
        <is>
          <t>Not started</t>
        </is>
      </c>
      <c r="P25" s="4" t="inlineStr">
        <is>
          <t>Not started</t>
        </is>
      </c>
    </row>
    <row r="26">
      <c r="A26" s="17" t="inlineStr">
        <is>
          <t>LS-035</t>
        </is>
      </c>
      <c r="B26" s="4">
        <f>Backlog!AA26</f>
        <v/>
      </c>
      <c r="C26" s="4" t="inlineStr">
        <is>
          <t>development</t>
        </is>
      </c>
      <c r="D26" s="4" t="inlineStr"/>
      <c r="E26" s="4" t="inlineStr">
        <is>
          <t>Not started</t>
        </is>
      </c>
      <c r="F26" s="4" t="inlineStr">
        <is>
          <t>Not started</t>
        </is>
      </c>
      <c r="G26" s="4" t="inlineStr">
        <is>
          <t>Not started</t>
        </is>
      </c>
      <c r="H26" s="4" t="inlineStr">
        <is>
          <t>Not started</t>
        </is>
      </c>
      <c r="I26" s="4" t="inlineStr">
        <is>
          <t>Not started</t>
        </is>
      </c>
      <c r="J26" s="4" t="inlineStr">
        <is>
          <t>Not started</t>
        </is>
      </c>
      <c r="K26" s="4" t="inlineStr">
        <is>
          <t>Not started</t>
        </is>
      </c>
      <c r="L26" s="4" t="inlineStr">
        <is>
          <t>Not started</t>
        </is>
      </c>
      <c r="M26" s="4" t="inlineStr">
        <is>
          <t>Not started</t>
        </is>
      </c>
      <c r="N26" s="4" t="inlineStr">
        <is>
          <t>Not started</t>
        </is>
      </c>
      <c r="O26" s="4" t="inlineStr">
        <is>
          <t>Not started</t>
        </is>
      </c>
      <c r="P26" s="4" t="inlineStr">
        <is>
          <t>Not started</t>
        </is>
      </c>
    </row>
    <row r="27">
      <c r="A27" s="17" t="inlineStr">
        <is>
          <t>LS-036</t>
        </is>
      </c>
      <c r="B27" s="4">
        <f>Backlog!AA27</f>
        <v/>
      </c>
      <c r="C27" s="4" t="inlineStr">
        <is>
          <t>development</t>
        </is>
      </c>
      <c r="D27" s="4" t="inlineStr"/>
      <c r="E27" s="4" t="inlineStr">
        <is>
          <t>Not started</t>
        </is>
      </c>
      <c r="F27" s="4" t="inlineStr">
        <is>
          <t>Not started</t>
        </is>
      </c>
      <c r="G27" s="4" t="inlineStr">
        <is>
          <t>Not started</t>
        </is>
      </c>
      <c r="H27" s="4" t="inlineStr">
        <is>
          <t>Not started</t>
        </is>
      </c>
      <c r="I27" s="4" t="inlineStr">
        <is>
          <t>Not started</t>
        </is>
      </c>
      <c r="J27" s="4" t="inlineStr">
        <is>
          <t>Not started</t>
        </is>
      </c>
      <c r="K27" s="4" t="inlineStr">
        <is>
          <t>Not started</t>
        </is>
      </c>
      <c r="L27" s="4" t="inlineStr">
        <is>
          <t>Not started</t>
        </is>
      </c>
      <c r="M27" s="4" t="inlineStr">
        <is>
          <t>Not started</t>
        </is>
      </c>
      <c r="N27" s="4" t="inlineStr">
        <is>
          <t>Not started</t>
        </is>
      </c>
      <c r="O27" s="4" t="inlineStr">
        <is>
          <t>Not started</t>
        </is>
      </c>
      <c r="P27" s="4" t="inlineStr">
        <is>
          <t>Not started</t>
        </is>
      </c>
    </row>
    <row r="28">
      <c r="A28" s="17" t="inlineStr">
        <is>
          <t>LS-037</t>
        </is>
      </c>
      <c r="B28" s="4">
        <f>Backlog!AA28</f>
        <v/>
      </c>
      <c r="C28" s="4" t="inlineStr">
        <is>
          <t>development</t>
        </is>
      </c>
      <c r="D28" s="4" t="inlineStr"/>
      <c r="E28" s="4" t="inlineStr">
        <is>
          <t>Not started</t>
        </is>
      </c>
      <c r="F28" s="4" t="inlineStr">
        <is>
          <t>Not started</t>
        </is>
      </c>
      <c r="G28" s="4" t="inlineStr">
        <is>
          <t>Not started</t>
        </is>
      </c>
      <c r="H28" s="4" t="inlineStr">
        <is>
          <t>Not started</t>
        </is>
      </c>
      <c r="I28" s="4" t="inlineStr">
        <is>
          <t>Not started</t>
        </is>
      </c>
      <c r="J28" s="4" t="inlineStr">
        <is>
          <t>Not started</t>
        </is>
      </c>
      <c r="K28" s="4" t="inlineStr">
        <is>
          <t>Not started</t>
        </is>
      </c>
      <c r="L28" s="4" t="inlineStr">
        <is>
          <t>Not started</t>
        </is>
      </c>
      <c r="M28" s="4" t="inlineStr">
        <is>
          <t>Not started</t>
        </is>
      </c>
      <c r="N28" s="4" t="inlineStr">
        <is>
          <t>Not started</t>
        </is>
      </c>
      <c r="O28" s="4" t="inlineStr">
        <is>
          <t>Not started</t>
        </is>
      </c>
      <c r="P28" s="4" t="inlineStr">
        <is>
          <t>Not started</t>
        </is>
      </c>
    </row>
    <row r="29">
      <c r="A29" s="17" t="inlineStr">
        <is>
          <t>LS-038</t>
        </is>
      </c>
      <c r="B29" s="4">
        <f>Backlog!AA29</f>
        <v/>
      </c>
      <c r="C29" s="4" t="inlineStr">
        <is>
          <t>development</t>
        </is>
      </c>
      <c r="D29" s="4" t="inlineStr"/>
      <c r="E29" s="4" t="inlineStr">
        <is>
          <t>Not started</t>
        </is>
      </c>
      <c r="F29" s="4" t="inlineStr">
        <is>
          <t>Not started</t>
        </is>
      </c>
      <c r="G29" s="4" t="inlineStr">
        <is>
          <t>Not started</t>
        </is>
      </c>
      <c r="H29" s="4" t="inlineStr">
        <is>
          <t>Not started</t>
        </is>
      </c>
      <c r="I29" s="4" t="inlineStr">
        <is>
          <t>Not started</t>
        </is>
      </c>
      <c r="J29" s="4" t="inlineStr">
        <is>
          <t>Not started</t>
        </is>
      </c>
      <c r="K29" s="4" t="inlineStr">
        <is>
          <t>Not started</t>
        </is>
      </c>
      <c r="L29" s="4" t="inlineStr">
        <is>
          <t>Not started</t>
        </is>
      </c>
      <c r="M29" s="4" t="inlineStr">
        <is>
          <t>Not started</t>
        </is>
      </c>
      <c r="N29" s="4" t="inlineStr">
        <is>
          <t>Not started</t>
        </is>
      </c>
      <c r="O29" s="4" t="inlineStr">
        <is>
          <t>Not started</t>
        </is>
      </c>
      <c r="P29" s="4" t="inlineStr">
        <is>
          <t>Not started</t>
        </is>
      </c>
    </row>
    <row r="30">
      <c r="A30" s="17" t="inlineStr">
        <is>
          <t>LS-040</t>
        </is>
      </c>
      <c r="B30" s="4">
        <f>Backlog!AA30</f>
        <v/>
      </c>
      <c r="C30" s="4" t="inlineStr">
        <is>
          <t>development</t>
        </is>
      </c>
      <c r="D30" s="4" t="inlineStr"/>
      <c r="E30" s="4" t="inlineStr">
        <is>
          <t>Not started</t>
        </is>
      </c>
      <c r="F30" s="4" t="inlineStr">
        <is>
          <t>Not started</t>
        </is>
      </c>
      <c r="G30" s="4" t="inlineStr">
        <is>
          <t>Not started</t>
        </is>
      </c>
      <c r="H30" s="4" t="inlineStr">
        <is>
          <t>Not started</t>
        </is>
      </c>
      <c r="I30" s="4" t="inlineStr">
        <is>
          <t>Not started</t>
        </is>
      </c>
      <c r="J30" s="4" t="inlineStr">
        <is>
          <t>Not started</t>
        </is>
      </c>
      <c r="K30" s="4" t="inlineStr">
        <is>
          <t>Not started</t>
        </is>
      </c>
      <c r="L30" s="4" t="inlineStr">
        <is>
          <t>Not started</t>
        </is>
      </c>
      <c r="M30" s="4" t="inlineStr">
        <is>
          <t>Not started</t>
        </is>
      </c>
      <c r="N30" s="4" t="inlineStr">
        <is>
          <t>Not started</t>
        </is>
      </c>
      <c r="O30" s="4" t="inlineStr">
        <is>
          <t>Not started</t>
        </is>
      </c>
      <c r="P30" s="4" t="inlineStr">
        <is>
          <t>Not started</t>
        </is>
      </c>
    </row>
    <row r="31">
      <c r="A31" s="17" t="inlineStr">
        <is>
          <t>LS-041</t>
        </is>
      </c>
      <c r="B31" s="4">
        <f>Backlog!AA31</f>
        <v/>
      </c>
      <c r="C31" s="4" t="inlineStr">
        <is>
          <t>development</t>
        </is>
      </c>
      <c r="D31" s="4" t="inlineStr"/>
      <c r="E31" s="4" t="inlineStr">
        <is>
          <t>Not started</t>
        </is>
      </c>
      <c r="F31" s="4" t="inlineStr">
        <is>
          <t>Not started</t>
        </is>
      </c>
      <c r="G31" s="4" t="inlineStr">
        <is>
          <t>Not started</t>
        </is>
      </c>
      <c r="H31" s="4" t="inlineStr">
        <is>
          <t>Not started</t>
        </is>
      </c>
      <c r="I31" s="4" t="inlineStr">
        <is>
          <t>Not started</t>
        </is>
      </c>
      <c r="J31" s="4" t="inlineStr">
        <is>
          <t>Not started</t>
        </is>
      </c>
      <c r="K31" s="4" t="inlineStr">
        <is>
          <t>Not started</t>
        </is>
      </c>
      <c r="L31" s="4" t="inlineStr">
        <is>
          <t>Not started</t>
        </is>
      </c>
      <c r="M31" s="4" t="inlineStr">
        <is>
          <t>Not started</t>
        </is>
      </c>
      <c r="N31" s="4" t="inlineStr">
        <is>
          <t>Not started</t>
        </is>
      </c>
      <c r="O31" s="4" t="inlineStr">
        <is>
          <t>Not started</t>
        </is>
      </c>
      <c r="P31" s="4" t="inlineStr">
        <is>
          <t>Not started</t>
        </is>
      </c>
    </row>
    <row r="32">
      <c r="A32" s="17" t="inlineStr">
        <is>
          <t>LS-042</t>
        </is>
      </c>
      <c r="B32" s="4">
        <f>Backlog!AA32</f>
        <v/>
      </c>
      <c r="C32" s="4" t="inlineStr">
        <is>
          <t>development</t>
        </is>
      </c>
      <c r="D32" s="4" t="inlineStr"/>
      <c r="E32" s="4" t="inlineStr">
        <is>
          <t>Not started</t>
        </is>
      </c>
      <c r="F32" s="4" t="inlineStr">
        <is>
          <t>Not started</t>
        </is>
      </c>
      <c r="G32" s="4" t="inlineStr">
        <is>
          <t>Not started</t>
        </is>
      </c>
      <c r="H32" s="4" t="inlineStr">
        <is>
          <t>Not started</t>
        </is>
      </c>
      <c r="I32" s="4" t="inlineStr">
        <is>
          <t>Not started</t>
        </is>
      </c>
      <c r="J32" s="4" t="inlineStr">
        <is>
          <t>Not started</t>
        </is>
      </c>
      <c r="K32" s="4" t="inlineStr">
        <is>
          <t>Not started</t>
        </is>
      </c>
      <c r="L32" s="4" t="inlineStr">
        <is>
          <t>Not started</t>
        </is>
      </c>
      <c r="M32" s="4" t="inlineStr">
        <is>
          <t>Not started</t>
        </is>
      </c>
      <c r="N32" s="4" t="inlineStr">
        <is>
          <t>Not started</t>
        </is>
      </c>
      <c r="O32" s="4" t="inlineStr">
        <is>
          <t>Not started</t>
        </is>
      </c>
      <c r="P32" s="4" t="inlineStr">
        <is>
          <t>Not started</t>
        </is>
      </c>
    </row>
    <row r="33">
      <c r="A33" s="17" t="inlineStr">
        <is>
          <t>LS-043</t>
        </is>
      </c>
      <c r="B33" s="4">
        <f>Backlog!AA33</f>
        <v/>
      </c>
      <c r="C33" s="4" t="inlineStr">
        <is>
          <t>development</t>
        </is>
      </c>
      <c r="D33" s="4" t="inlineStr"/>
      <c r="E33" s="4" t="inlineStr">
        <is>
          <t>Not started</t>
        </is>
      </c>
      <c r="F33" s="4" t="inlineStr">
        <is>
          <t>Not started</t>
        </is>
      </c>
      <c r="G33" s="4" t="inlineStr">
        <is>
          <t>Not started</t>
        </is>
      </c>
      <c r="H33" s="4" t="inlineStr">
        <is>
          <t>Not started</t>
        </is>
      </c>
      <c r="I33" s="4" t="inlineStr">
        <is>
          <t>Not started</t>
        </is>
      </c>
      <c r="J33" s="4" t="inlineStr">
        <is>
          <t>Not started</t>
        </is>
      </c>
      <c r="K33" s="4" t="inlineStr">
        <is>
          <t>Not started</t>
        </is>
      </c>
      <c r="L33" s="4" t="inlineStr">
        <is>
          <t>Not started</t>
        </is>
      </c>
      <c r="M33" s="4" t="inlineStr">
        <is>
          <t>Not started</t>
        </is>
      </c>
      <c r="N33" s="4" t="inlineStr">
        <is>
          <t>Not started</t>
        </is>
      </c>
      <c r="O33" s="4" t="inlineStr">
        <is>
          <t>Not started</t>
        </is>
      </c>
      <c r="P33" s="4" t="inlineStr">
        <is>
          <t>Not started</t>
        </is>
      </c>
    </row>
    <row r="34">
      <c r="A34" s="17" t="inlineStr">
        <is>
          <t>LS-044</t>
        </is>
      </c>
      <c r="B34" s="4">
        <f>Backlog!AA34</f>
        <v/>
      </c>
      <c r="C34" s="4" t="inlineStr">
        <is>
          <t>development</t>
        </is>
      </c>
      <c r="D34" s="4" t="inlineStr"/>
      <c r="E34" s="4" t="inlineStr">
        <is>
          <t>Not started</t>
        </is>
      </c>
      <c r="F34" s="4" t="inlineStr">
        <is>
          <t>Not started</t>
        </is>
      </c>
      <c r="G34" s="4" t="inlineStr">
        <is>
          <t>Not started</t>
        </is>
      </c>
      <c r="H34" s="4" t="inlineStr">
        <is>
          <t>Not started</t>
        </is>
      </c>
      <c r="I34" s="4" t="inlineStr">
        <is>
          <t>Not started</t>
        </is>
      </c>
      <c r="J34" s="4" t="inlineStr">
        <is>
          <t>Not started</t>
        </is>
      </c>
      <c r="K34" s="4" t="inlineStr">
        <is>
          <t>Not started</t>
        </is>
      </c>
      <c r="L34" s="4" t="inlineStr">
        <is>
          <t>Not started</t>
        </is>
      </c>
      <c r="M34" s="4" t="inlineStr">
        <is>
          <t>Not started</t>
        </is>
      </c>
      <c r="N34" s="4" t="inlineStr">
        <is>
          <t>Not started</t>
        </is>
      </c>
      <c r="O34" s="4" t="inlineStr">
        <is>
          <t>Not started</t>
        </is>
      </c>
      <c r="P34" s="4" t="inlineStr">
        <is>
          <t>Not started</t>
        </is>
      </c>
    </row>
    <row r="35">
      <c r="A35" s="17" t="inlineStr">
        <is>
          <t>LS-045</t>
        </is>
      </c>
      <c r="B35" s="4">
        <f>Backlog!AA35</f>
        <v/>
      </c>
      <c r="C35" s="4" t="inlineStr">
        <is>
          <t>development</t>
        </is>
      </c>
      <c r="D35" s="4" t="inlineStr"/>
      <c r="E35" s="4" t="inlineStr">
        <is>
          <t>Not started</t>
        </is>
      </c>
      <c r="F35" s="4" t="inlineStr">
        <is>
          <t>Not started</t>
        </is>
      </c>
      <c r="G35" s="4" t="inlineStr">
        <is>
          <t>Not started</t>
        </is>
      </c>
      <c r="H35" s="4" t="inlineStr">
        <is>
          <t>Not started</t>
        </is>
      </c>
      <c r="I35" s="4" t="inlineStr">
        <is>
          <t>Not started</t>
        </is>
      </c>
      <c r="J35" s="4" t="inlineStr">
        <is>
          <t>Not started</t>
        </is>
      </c>
      <c r="K35" s="4" t="inlineStr">
        <is>
          <t>Not started</t>
        </is>
      </c>
      <c r="L35" s="4" t="inlineStr">
        <is>
          <t>Not started</t>
        </is>
      </c>
      <c r="M35" s="4" t="inlineStr">
        <is>
          <t>Not started</t>
        </is>
      </c>
      <c r="N35" s="4" t="inlineStr">
        <is>
          <t>Not started</t>
        </is>
      </c>
      <c r="O35" s="4" t="inlineStr">
        <is>
          <t>Not started</t>
        </is>
      </c>
      <c r="P35" s="4" t="inlineStr">
        <is>
          <t>Not started</t>
        </is>
      </c>
    </row>
    <row r="36">
      <c r="A36" s="17" t="inlineStr">
        <is>
          <t>LS-046</t>
        </is>
      </c>
      <c r="B36" s="4">
        <f>Backlog!AA36</f>
        <v/>
      </c>
      <c r="C36" s="4" t="inlineStr">
        <is>
          <t>development</t>
        </is>
      </c>
      <c r="D36" s="4" t="inlineStr"/>
      <c r="E36" s="4" t="inlineStr">
        <is>
          <t>Not started</t>
        </is>
      </c>
      <c r="F36" s="4" t="inlineStr">
        <is>
          <t>Not started</t>
        </is>
      </c>
      <c r="G36" s="4" t="inlineStr">
        <is>
          <t>Not started</t>
        </is>
      </c>
      <c r="H36" s="4" t="inlineStr">
        <is>
          <t>Not started</t>
        </is>
      </c>
      <c r="I36" s="4" t="inlineStr">
        <is>
          <t>Not started</t>
        </is>
      </c>
      <c r="J36" s="4" t="inlineStr">
        <is>
          <t>Not started</t>
        </is>
      </c>
      <c r="K36" s="4" t="inlineStr">
        <is>
          <t>Not started</t>
        </is>
      </c>
      <c r="L36" s="4" t="inlineStr">
        <is>
          <t>Not started</t>
        </is>
      </c>
      <c r="M36" s="4" t="inlineStr">
        <is>
          <t>Not started</t>
        </is>
      </c>
      <c r="N36" s="4" t="inlineStr">
        <is>
          <t>Not started</t>
        </is>
      </c>
      <c r="O36" s="4" t="inlineStr">
        <is>
          <t>Not started</t>
        </is>
      </c>
      <c r="P36" s="4" t="inlineStr">
        <is>
          <t>Not started</t>
        </is>
      </c>
    </row>
    <row r="37">
      <c r="A37" s="17" t="inlineStr">
        <is>
          <t>LS-047</t>
        </is>
      </c>
      <c r="B37" s="4">
        <f>Backlog!AA37</f>
        <v/>
      </c>
      <c r="C37" s="4" t="inlineStr">
        <is>
          <t>development</t>
        </is>
      </c>
      <c r="D37" s="4" t="inlineStr"/>
      <c r="E37" s="4" t="inlineStr">
        <is>
          <t>Not started</t>
        </is>
      </c>
      <c r="F37" s="4" t="inlineStr">
        <is>
          <t>Not started</t>
        </is>
      </c>
      <c r="G37" s="4" t="inlineStr">
        <is>
          <t>Not started</t>
        </is>
      </c>
      <c r="H37" s="4" t="inlineStr">
        <is>
          <t>Not started</t>
        </is>
      </c>
      <c r="I37" s="4" t="inlineStr">
        <is>
          <t>Not started</t>
        </is>
      </c>
      <c r="J37" s="4" t="inlineStr">
        <is>
          <t>Not started</t>
        </is>
      </c>
      <c r="K37" s="4" t="inlineStr">
        <is>
          <t>Not started</t>
        </is>
      </c>
      <c r="L37" s="4" t="inlineStr">
        <is>
          <t>Not started</t>
        </is>
      </c>
      <c r="M37" s="4" t="inlineStr">
        <is>
          <t>Not started</t>
        </is>
      </c>
      <c r="N37" s="4" t="inlineStr">
        <is>
          <t>Not started</t>
        </is>
      </c>
      <c r="O37" s="4" t="inlineStr">
        <is>
          <t>Not started</t>
        </is>
      </c>
      <c r="P37" s="4" t="inlineStr">
        <is>
          <t>Not started</t>
        </is>
      </c>
    </row>
    <row r="38">
      <c r="A38" s="17" t="inlineStr">
        <is>
          <t>LS-048</t>
        </is>
      </c>
      <c r="B38" s="4">
        <f>Backlog!AA38</f>
        <v/>
      </c>
      <c r="C38" s="4" t="inlineStr">
        <is>
          <t>development</t>
        </is>
      </c>
      <c r="D38" s="4" t="inlineStr"/>
      <c r="E38" s="4" t="inlineStr">
        <is>
          <t>Not started</t>
        </is>
      </c>
      <c r="F38" s="4" t="inlineStr">
        <is>
          <t>Not started</t>
        </is>
      </c>
      <c r="G38" s="4" t="inlineStr">
        <is>
          <t>Not started</t>
        </is>
      </c>
      <c r="H38" s="4" t="inlineStr">
        <is>
          <t>Not started</t>
        </is>
      </c>
      <c r="I38" s="4" t="inlineStr">
        <is>
          <t>Not started</t>
        </is>
      </c>
      <c r="J38" s="4" t="inlineStr">
        <is>
          <t>Not started</t>
        </is>
      </c>
      <c r="K38" s="4" t="inlineStr">
        <is>
          <t>Not started</t>
        </is>
      </c>
      <c r="L38" s="4" t="inlineStr">
        <is>
          <t>Not started</t>
        </is>
      </c>
      <c r="M38" s="4" t="inlineStr">
        <is>
          <t>Not started</t>
        </is>
      </c>
      <c r="N38" s="4" t="inlineStr">
        <is>
          <t>Not started</t>
        </is>
      </c>
      <c r="O38" s="4" t="inlineStr">
        <is>
          <t>Not started</t>
        </is>
      </c>
      <c r="P38" s="4" t="inlineStr">
        <is>
          <t>Not started</t>
        </is>
      </c>
    </row>
    <row r="39">
      <c r="A39" s="17" t="inlineStr">
        <is>
          <t>LS-050</t>
        </is>
      </c>
      <c r="B39" s="4">
        <f>Backlog!AA39</f>
        <v/>
      </c>
      <c r="C39" s="4" t="inlineStr">
        <is>
          <t>development</t>
        </is>
      </c>
      <c r="D39" s="4" t="inlineStr"/>
      <c r="E39" s="4" t="inlineStr">
        <is>
          <t>Not started</t>
        </is>
      </c>
      <c r="F39" s="4" t="inlineStr">
        <is>
          <t>Not started</t>
        </is>
      </c>
      <c r="G39" s="4" t="inlineStr">
        <is>
          <t>Not started</t>
        </is>
      </c>
      <c r="H39" s="4" t="inlineStr">
        <is>
          <t>Not started</t>
        </is>
      </c>
      <c r="I39" s="4" t="inlineStr">
        <is>
          <t>Not started</t>
        </is>
      </c>
      <c r="J39" s="4" t="inlineStr">
        <is>
          <t>Not started</t>
        </is>
      </c>
      <c r="K39" s="4" t="inlineStr">
        <is>
          <t>Not started</t>
        </is>
      </c>
      <c r="L39" s="4" t="inlineStr">
        <is>
          <t>Not started</t>
        </is>
      </c>
      <c r="M39" s="4" t="inlineStr">
        <is>
          <t>Not started</t>
        </is>
      </c>
      <c r="N39" s="4" t="inlineStr">
        <is>
          <t>Not started</t>
        </is>
      </c>
      <c r="O39" s="4" t="inlineStr">
        <is>
          <t>Not started</t>
        </is>
      </c>
      <c r="P39" s="4" t="inlineStr">
        <is>
          <t>Not started</t>
        </is>
      </c>
    </row>
    <row r="40">
      <c r="A40" s="17" t="inlineStr">
        <is>
          <t>LS-051</t>
        </is>
      </c>
      <c r="B40" s="4">
        <f>Backlog!AA40</f>
        <v/>
      </c>
      <c r="C40" s="4" t="inlineStr">
        <is>
          <t>development</t>
        </is>
      </c>
      <c r="D40" s="4" t="inlineStr"/>
      <c r="E40" s="4" t="inlineStr">
        <is>
          <t>Not started</t>
        </is>
      </c>
      <c r="F40" s="4" t="inlineStr">
        <is>
          <t>Not started</t>
        </is>
      </c>
      <c r="G40" s="4" t="inlineStr">
        <is>
          <t>Not started</t>
        </is>
      </c>
      <c r="H40" s="4" t="inlineStr">
        <is>
          <t>Not started</t>
        </is>
      </c>
      <c r="I40" s="4" t="inlineStr">
        <is>
          <t>Not started</t>
        </is>
      </c>
      <c r="J40" s="4" t="inlineStr">
        <is>
          <t>Not started</t>
        </is>
      </c>
      <c r="K40" s="4" t="inlineStr">
        <is>
          <t>Not started</t>
        </is>
      </c>
      <c r="L40" s="4" t="inlineStr">
        <is>
          <t>Not started</t>
        </is>
      </c>
      <c r="M40" s="4" t="inlineStr">
        <is>
          <t>Not started</t>
        </is>
      </c>
      <c r="N40" s="4" t="inlineStr">
        <is>
          <t>Not started</t>
        </is>
      </c>
      <c r="O40" s="4" t="inlineStr">
        <is>
          <t>Not started</t>
        </is>
      </c>
      <c r="P40" s="4" t="inlineStr">
        <is>
          <t>Not started</t>
        </is>
      </c>
    </row>
    <row r="41">
      <c r="A41" s="17" t="inlineStr">
        <is>
          <t>LS-052</t>
        </is>
      </c>
      <c r="B41" s="4">
        <f>Backlog!AA41</f>
        <v/>
      </c>
      <c r="C41" s="4" t="inlineStr">
        <is>
          <t>development</t>
        </is>
      </c>
      <c r="D41" s="4" t="inlineStr"/>
      <c r="E41" s="4" t="inlineStr">
        <is>
          <t>Not started</t>
        </is>
      </c>
      <c r="F41" s="4" t="inlineStr">
        <is>
          <t>Not started</t>
        </is>
      </c>
      <c r="G41" s="4" t="inlineStr">
        <is>
          <t>Not started</t>
        </is>
      </c>
      <c r="H41" s="4" t="inlineStr">
        <is>
          <t>Not started</t>
        </is>
      </c>
      <c r="I41" s="4" t="inlineStr">
        <is>
          <t>Not started</t>
        </is>
      </c>
      <c r="J41" s="4" t="inlineStr">
        <is>
          <t>Not started</t>
        </is>
      </c>
      <c r="K41" s="4" t="inlineStr">
        <is>
          <t>Not started</t>
        </is>
      </c>
      <c r="L41" s="4" t="inlineStr">
        <is>
          <t>Not started</t>
        </is>
      </c>
      <c r="M41" s="4" t="inlineStr">
        <is>
          <t>Not started</t>
        </is>
      </c>
      <c r="N41" s="4" t="inlineStr">
        <is>
          <t>Not started</t>
        </is>
      </c>
      <c r="O41" s="4" t="inlineStr">
        <is>
          <t>Not started</t>
        </is>
      </c>
      <c r="P41" s="4" t="inlineStr">
        <is>
          <t>Not started</t>
        </is>
      </c>
    </row>
    <row r="42">
      <c r="A42" s="17" t="inlineStr">
        <is>
          <t>LS-060</t>
        </is>
      </c>
      <c r="B42" s="4">
        <f>Backlog!AA42</f>
        <v/>
      </c>
      <c r="C42" s="4" t="inlineStr">
        <is>
          <t>development</t>
        </is>
      </c>
      <c r="D42" s="4" t="inlineStr"/>
      <c r="E42" s="4" t="inlineStr">
        <is>
          <t>Not started</t>
        </is>
      </c>
      <c r="F42" s="4" t="inlineStr">
        <is>
          <t>Not started</t>
        </is>
      </c>
      <c r="G42" s="4" t="inlineStr">
        <is>
          <t>Not started</t>
        </is>
      </c>
      <c r="H42" s="4" t="inlineStr">
        <is>
          <t>Not started</t>
        </is>
      </c>
      <c r="I42" s="4" t="inlineStr">
        <is>
          <t>Not started</t>
        </is>
      </c>
      <c r="J42" s="4" t="inlineStr">
        <is>
          <t>Not started</t>
        </is>
      </c>
      <c r="K42" s="4" t="inlineStr">
        <is>
          <t>Not started</t>
        </is>
      </c>
      <c r="L42" s="4" t="inlineStr">
        <is>
          <t>Not started</t>
        </is>
      </c>
      <c r="M42" s="4" t="inlineStr">
        <is>
          <t>Not started</t>
        </is>
      </c>
      <c r="N42" s="4" t="inlineStr">
        <is>
          <t>Not started</t>
        </is>
      </c>
      <c r="O42" s="4" t="inlineStr">
        <is>
          <t>Not started</t>
        </is>
      </c>
      <c r="P42" s="4" t="inlineStr">
        <is>
          <t>Not started</t>
        </is>
      </c>
    </row>
    <row r="43">
      <c r="A43" s="17" t="inlineStr">
        <is>
          <t>LS-061</t>
        </is>
      </c>
      <c r="B43" s="4">
        <f>Backlog!AA43</f>
        <v/>
      </c>
      <c r="C43" s="4" t="inlineStr">
        <is>
          <t>development</t>
        </is>
      </c>
      <c r="D43" s="4" t="inlineStr"/>
      <c r="E43" s="4" t="inlineStr">
        <is>
          <t>Not started</t>
        </is>
      </c>
      <c r="F43" s="4" t="inlineStr">
        <is>
          <t>Not started</t>
        </is>
      </c>
      <c r="G43" s="4" t="inlineStr">
        <is>
          <t>Not started</t>
        </is>
      </c>
      <c r="H43" s="4" t="inlineStr">
        <is>
          <t>Not started</t>
        </is>
      </c>
      <c r="I43" s="4" t="inlineStr">
        <is>
          <t>Not started</t>
        </is>
      </c>
      <c r="J43" s="4" t="inlineStr">
        <is>
          <t>Not started</t>
        </is>
      </c>
      <c r="K43" s="4" t="inlineStr">
        <is>
          <t>Not started</t>
        </is>
      </c>
      <c r="L43" s="4" t="inlineStr">
        <is>
          <t>Not started</t>
        </is>
      </c>
      <c r="M43" s="4" t="inlineStr">
        <is>
          <t>Not started</t>
        </is>
      </c>
      <c r="N43" s="4" t="inlineStr">
        <is>
          <t>Not started</t>
        </is>
      </c>
      <c r="O43" s="4" t="inlineStr">
        <is>
          <t>Not started</t>
        </is>
      </c>
      <c r="P43" s="4" t="inlineStr">
        <is>
          <t>Not started</t>
        </is>
      </c>
    </row>
    <row r="44">
      <c r="A44" s="17" t="inlineStr">
        <is>
          <t>LS-062</t>
        </is>
      </c>
      <c r="B44" s="4">
        <f>Backlog!AA44</f>
        <v/>
      </c>
      <c r="C44" s="4" t="inlineStr">
        <is>
          <t>development</t>
        </is>
      </c>
      <c r="D44" s="4" t="inlineStr"/>
      <c r="E44" s="4" t="inlineStr">
        <is>
          <t>Not started</t>
        </is>
      </c>
      <c r="F44" s="4" t="inlineStr">
        <is>
          <t>Not started</t>
        </is>
      </c>
      <c r="G44" s="4" t="inlineStr">
        <is>
          <t>Not started</t>
        </is>
      </c>
      <c r="H44" s="4" t="inlineStr">
        <is>
          <t>Not started</t>
        </is>
      </c>
      <c r="I44" s="4" t="inlineStr">
        <is>
          <t>Not started</t>
        </is>
      </c>
      <c r="J44" s="4" t="inlineStr">
        <is>
          <t>Not started</t>
        </is>
      </c>
      <c r="K44" s="4" t="inlineStr">
        <is>
          <t>Not started</t>
        </is>
      </c>
      <c r="L44" s="4" t="inlineStr">
        <is>
          <t>Not started</t>
        </is>
      </c>
      <c r="M44" s="4" t="inlineStr">
        <is>
          <t>Not started</t>
        </is>
      </c>
      <c r="N44" s="4" t="inlineStr">
        <is>
          <t>Not started</t>
        </is>
      </c>
      <c r="O44" s="4" t="inlineStr">
        <is>
          <t>Not started</t>
        </is>
      </c>
      <c r="P44" s="4" t="inlineStr">
        <is>
          <t>Not started</t>
        </is>
      </c>
    </row>
    <row r="45">
      <c r="A45" s="17" t="inlineStr">
        <is>
          <t>LS-063</t>
        </is>
      </c>
      <c r="B45" s="4">
        <f>Backlog!AA45</f>
        <v/>
      </c>
      <c r="C45" s="4" t="inlineStr">
        <is>
          <t>development</t>
        </is>
      </c>
      <c r="D45" s="4" t="inlineStr"/>
      <c r="E45" s="4" t="inlineStr">
        <is>
          <t>Not started</t>
        </is>
      </c>
      <c r="F45" s="4" t="inlineStr">
        <is>
          <t>Not started</t>
        </is>
      </c>
      <c r="G45" s="4" t="inlineStr">
        <is>
          <t>Not started</t>
        </is>
      </c>
      <c r="H45" s="4" t="inlineStr">
        <is>
          <t>Not started</t>
        </is>
      </c>
      <c r="I45" s="4" t="inlineStr">
        <is>
          <t>Not started</t>
        </is>
      </c>
      <c r="J45" s="4" t="inlineStr">
        <is>
          <t>Not started</t>
        </is>
      </c>
      <c r="K45" s="4" t="inlineStr">
        <is>
          <t>Not started</t>
        </is>
      </c>
      <c r="L45" s="4" t="inlineStr">
        <is>
          <t>Not started</t>
        </is>
      </c>
      <c r="M45" s="4" t="inlineStr">
        <is>
          <t>Not started</t>
        </is>
      </c>
      <c r="N45" s="4" t="inlineStr">
        <is>
          <t>Not started</t>
        </is>
      </c>
      <c r="O45" s="4" t="inlineStr">
        <is>
          <t>Not started</t>
        </is>
      </c>
      <c r="P45" s="4" t="inlineStr">
        <is>
          <t>Not started</t>
        </is>
      </c>
    </row>
    <row r="46">
      <c r="A46" s="17" t="inlineStr">
        <is>
          <t>LS-070</t>
        </is>
      </c>
      <c r="B46" s="4">
        <f>Backlog!AA46</f>
        <v/>
      </c>
      <c r="C46" s="4" t="inlineStr">
        <is>
          <t>development</t>
        </is>
      </c>
      <c r="D46" s="4" t="inlineStr"/>
      <c r="E46" s="4" t="inlineStr">
        <is>
          <t>Not started</t>
        </is>
      </c>
      <c r="F46" s="4" t="inlineStr">
        <is>
          <t>Not started</t>
        </is>
      </c>
      <c r="G46" s="4" t="inlineStr">
        <is>
          <t>Not started</t>
        </is>
      </c>
      <c r="H46" s="4" t="inlineStr">
        <is>
          <t>Not started</t>
        </is>
      </c>
      <c r="I46" s="4" t="inlineStr">
        <is>
          <t>Not started</t>
        </is>
      </c>
      <c r="J46" s="4" t="inlineStr">
        <is>
          <t>Not started</t>
        </is>
      </c>
      <c r="K46" s="4" t="inlineStr">
        <is>
          <t>Not started</t>
        </is>
      </c>
      <c r="L46" s="4" t="inlineStr">
        <is>
          <t>Not started</t>
        </is>
      </c>
      <c r="M46" s="4" t="inlineStr">
        <is>
          <t>Not started</t>
        </is>
      </c>
      <c r="N46" s="4" t="inlineStr">
        <is>
          <t>Not started</t>
        </is>
      </c>
      <c r="O46" s="4" t="inlineStr">
        <is>
          <t>Not started</t>
        </is>
      </c>
      <c r="P46" s="4" t="inlineStr">
        <is>
          <t>Not started</t>
        </is>
      </c>
    </row>
    <row r="47">
      <c r="A47" s="17" t="inlineStr">
        <is>
          <t>LS-071</t>
        </is>
      </c>
      <c r="B47" s="4">
        <f>Backlog!AA47</f>
        <v/>
      </c>
      <c r="C47" s="4" t="inlineStr">
        <is>
          <t>development</t>
        </is>
      </c>
      <c r="D47" s="4" t="inlineStr"/>
      <c r="E47" s="4" t="inlineStr">
        <is>
          <t>Not started</t>
        </is>
      </c>
      <c r="F47" s="4" t="inlineStr">
        <is>
          <t>Not started</t>
        </is>
      </c>
      <c r="G47" s="4" t="inlineStr">
        <is>
          <t>Not started</t>
        </is>
      </c>
      <c r="H47" s="4" t="inlineStr">
        <is>
          <t>Not started</t>
        </is>
      </c>
      <c r="I47" s="4" t="inlineStr">
        <is>
          <t>Not started</t>
        </is>
      </c>
      <c r="J47" s="4" t="inlineStr">
        <is>
          <t>Not started</t>
        </is>
      </c>
      <c r="K47" s="4" t="inlineStr">
        <is>
          <t>Not started</t>
        </is>
      </c>
      <c r="L47" s="4" t="inlineStr">
        <is>
          <t>Not started</t>
        </is>
      </c>
      <c r="M47" s="4" t="inlineStr">
        <is>
          <t>Not started</t>
        </is>
      </c>
      <c r="N47" s="4" t="inlineStr">
        <is>
          <t>Not started</t>
        </is>
      </c>
      <c r="O47" s="4" t="inlineStr">
        <is>
          <t>Not started</t>
        </is>
      </c>
      <c r="P47" s="4" t="inlineStr">
        <is>
          <t>Not started</t>
        </is>
      </c>
    </row>
    <row r="48">
      <c r="A48" s="17" t="inlineStr">
        <is>
          <t>LS-072</t>
        </is>
      </c>
      <c r="B48" s="4">
        <f>Backlog!AA48</f>
        <v/>
      </c>
      <c r="C48" s="4" t="inlineStr">
        <is>
          <t>development</t>
        </is>
      </c>
      <c r="D48" s="4" t="inlineStr"/>
      <c r="E48" s="4" t="inlineStr">
        <is>
          <t>Not started</t>
        </is>
      </c>
      <c r="F48" s="4" t="inlineStr">
        <is>
          <t>Not started</t>
        </is>
      </c>
      <c r="G48" s="4" t="inlineStr">
        <is>
          <t>Not started</t>
        </is>
      </c>
      <c r="H48" s="4" t="inlineStr">
        <is>
          <t>Not started</t>
        </is>
      </c>
      <c r="I48" s="4" t="inlineStr">
        <is>
          <t>Not started</t>
        </is>
      </c>
      <c r="J48" s="4" t="inlineStr">
        <is>
          <t>Not started</t>
        </is>
      </c>
      <c r="K48" s="4" t="inlineStr">
        <is>
          <t>Not started</t>
        </is>
      </c>
      <c r="L48" s="4" t="inlineStr">
        <is>
          <t>Not started</t>
        </is>
      </c>
      <c r="M48" s="4" t="inlineStr">
        <is>
          <t>Not started</t>
        </is>
      </c>
      <c r="N48" s="4" t="inlineStr">
        <is>
          <t>Not started</t>
        </is>
      </c>
      <c r="O48" s="4" t="inlineStr">
        <is>
          <t>Not started</t>
        </is>
      </c>
      <c r="P48" s="4" t="inlineStr">
        <is>
          <t>Not started</t>
        </is>
      </c>
    </row>
    <row r="49">
      <c r="A49" s="17" t="inlineStr">
        <is>
          <t>LS-073</t>
        </is>
      </c>
      <c r="B49" s="4">
        <f>Backlog!AA49</f>
        <v/>
      </c>
      <c r="C49" s="4" t="inlineStr">
        <is>
          <t>development</t>
        </is>
      </c>
      <c r="D49" s="4" t="inlineStr"/>
      <c r="E49" s="4" t="inlineStr">
        <is>
          <t>Not started</t>
        </is>
      </c>
      <c r="F49" s="4" t="inlineStr">
        <is>
          <t>Not started</t>
        </is>
      </c>
      <c r="G49" s="4" t="inlineStr">
        <is>
          <t>Not started</t>
        </is>
      </c>
      <c r="H49" s="4" t="inlineStr">
        <is>
          <t>Not started</t>
        </is>
      </c>
      <c r="I49" s="4" t="inlineStr">
        <is>
          <t>Not started</t>
        </is>
      </c>
      <c r="J49" s="4" t="inlineStr">
        <is>
          <t>Not started</t>
        </is>
      </c>
      <c r="K49" s="4" t="inlineStr">
        <is>
          <t>Not started</t>
        </is>
      </c>
      <c r="L49" s="4" t="inlineStr">
        <is>
          <t>Not started</t>
        </is>
      </c>
      <c r="M49" s="4" t="inlineStr">
        <is>
          <t>Not started</t>
        </is>
      </c>
      <c r="N49" s="4" t="inlineStr">
        <is>
          <t>Not started</t>
        </is>
      </c>
      <c r="O49" s="4" t="inlineStr">
        <is>
          <t>Not started</t>
        </is>
      </c>
      <c r="P49" s="4" t="inlineStr">
        <is>
          <t>Not started</t>
        </is>
      </c>
    </row>
    <row r="50">
      <c r="A50" s="17" t="inlineStr">
        <is>
          <t>LS-074</t>
        </is>
      </c>
      <c r="B50" s="4">
        <f>Backlog!AA50</f>
        <v/>
      </c>
      <c r="C50" s="4" t="inlineStr">
        <is>
          <t>development</t>
        </is>
      </c>
      <c r="D50" s="4" t="inlineStr"/>
      <c r="E50" s="4" t="inlineStr">
        <is>
          <t>Not started</t>
        </is>
      </c>
      <c r="F50" s="4" t="inlineStr">
        <is>
          <t>Not started</t>
        </is>
      </c>
      <c r="G50" s="4" t="inlineStr">
        <is>
          <t>Not started</t>
        </is>
      </c>
      <c r="H50" s="4" t="inlineStr">
        <is>
          <t>Not started</t>
        </is>
      </c>
      <c r="I50" s="4" t="inlineStr">
        <is>
          <t>Not started</t>
        </is>
      </c>
      <c r="J50" s="4" t="inlineStr">
        <is>
          <t>Not started</t>
        </is>
      </c>
      <c r="K50" s="4" t="inlineStr">
        <is>
          <t>Not started</t>
        </is>
      </c>
      <c r="L50" s="4" t="inlineStr">
        <is>
          <t>Not started</t>
        </is>
      </c>
      <c r="M50" s="4" t="inlineStr">
        <is>
          <t>Not started</t>
        </is>
      </c>
      <c r="N50" s="4" t="inlineStr">
        <is>
          <t>Not started</t>
        </is>
      </c>
      <c r="O50" s="4" t="inlineStr">
        <is>
          <t>Not started</t>
        </is>
      </c>
      <c r="P50" s="4" t="inlineStr">
        <is>
          <t>Not started</t>
        </is>
      </c>
    </row>
    <row r="51">
      <c r="A51" s="17" t="inlineStr">
        <is>
          <t>LS-075</t>
        </is>
      </c>
      <c r="B51" s="4">
        <f>Backlog!AA51</f>
        <v/>
      </c>
      <c r="C51" s="4" t="inlineStr">
        <is>
          <t>development</t>
        </is>
      </c>
      <c r="D51" s="4" t="inlineStr"/>
      <c r="E51" s="4" t="inlineStr">
        <is>
          <t>Not started</t>
        </is>
      </c>
      <c r="F51" s="4" t="inlineStr">
        <is>
          <t>Not started</t>
        </is>
      </c>
      <c r="G51" s="4" t="inlineStr">
        <is>
          <t>Not started</t>
        </is>
      </c>
      <c r="H51" s="4" t="inlineStr">
        <is>
          <t>Not started</t>
        </is>
      </c>
      <c r="I51" s="4" t="inlineStr">
        <is>
          <t>Not started</t>
        </is>
      </c>
      <c r="J51" s="4" t="inlineStr">
        <is>
          <t>Not started</t>
        </is>
      </c>
      <c r="K51" s="4" t="inlineStr">
        <is>
          <t>Not started</t>
        </is>
      </c>
      <c r="L51" s="4" t="inlineStr">
        <is>
          <t>Not started</t>
        </is>
      </c>
      <c r="M51" s="4" t="inlineStr">
        <is>
          <t>Not started</t>
        </is>
      </c>
      <c r="N51" s="4" t="inlineStr">
        <is>
          <t>Not started</t>
        </is>
      </c>
      <c r="O51" s="4" t="inlineStr">
        <is>
          <t>Not started</t>
        </is>
      </c>
      <c r="P51" s="4" t="inlineStr">
        <is>
          <t>Not started</t>
        </is>
      </c>
    </row>
    <row r="52">
      <c r="A52" s="17" t="inlineStr">
        <is>
          <t>LS-080</t>
        </is>
      </c>
      <c r="B52" s="4">
        <f>Backlog!AA52</f>
        <v/>
      </c>
      <c r="C52" s="4" t="inlineStr">
        <is>
          <t>development</t>
        </is>
      </c>
      <c r="D52" s="4" t="inlineStr"/>
      <c r="E52" s="4" t="inlineStr">
        <is>
          <t>Not started</t>
        </is>
      </c>
      <c r="F52" s="4" t="inlineStr">
        <is>
          <t>Not started</t>
        </is>
      </c>
      <c r="G52" s="4" t="inlineStr">
        <is>
          <t>Not started</t>
        </is>
      </c>
      <c r="H52" s="4" t="inlineStr">
        <is>
          <t>Not started</t>
        </is>
      </c>
      <c r="I52" s="4" t="inlineStr">
        <is>
          <t>Not started</t>
        </is>
      </c>
      <c r="J52" s="4" t="inlineStr">
        <is>
          <t>Not started</t>
        </is>
      </c>
      <c r="K52" s="4" t="inlineStr">
        <is>
          <t>Not started</t>
        </is>
      </c>
      <c r="L52" s="4" t="inlineStr">
        <is>
          <t>Not started</t>
        </is>
      </c>
      <c r="M52" s="4" t="inlineStr">
        <is>
          <t>Not started</t>
        </is>
      </c>
      <c r="N52" s="4" t="inlineStr">
        <is>
          <t>Not started</t>
        </is>
      </c>
      <c r="O52" s="4" t="inlineStr">
        <is>
          <t>Not started</t>
        </is>
      </c>
      <c r="P52" s="4" t="inlineStr">
        <is>
          <t>Not started</t>
        </is>
      </c>
    </row>
    <row r="53">
      <c r="A53" s="17" t="inlineStr">
        <is>
          <t>LS-081</t>
        </is>
      </c>
      <c r="B53" s="4">
        <f>Backlog!AA53</f>
        <v/>
      </c>
      <c r="C53" s="4" t="inlineStr">
        <is>
          <t>development</t>
        </is>
      </c>
      <c r="D53" s="4" t="inlineStr"/>
      <c r="E53" s="4" t="inlineStr">
        <is>
          <t>Not started</t>
        </is>
      </c>
      <c r="F53" s="4" t="inlineStr">
        <is>
          <t>Not started</t>
        </is>
      </c>
      <c r="G53" s="4" t="inlineStr">
        <is>
          <t>Not started</t>
        </is>
      </c>
      <c r="H53" s="4" t="inlineStr">
        <is>
          <t>Not started</t>
        </is>
      </c>
      <c r="I53" s="4" t="inlineStr">
        <is>
          <t>Not started</t>
        </is>
      </c>
      <c r="J53" s="4" t="inlineStr">
        <is>
          <t>Not started</t>
        </is>
      </c>
      <c r="K53" s="4" t="inlineStr">
        <is>
          <t>Not started</t>
        </is>
      </c>
      <c r="L53" s="4" t="inlineStr">
        <is>
          <t>Not started</t>
        </is>
      </c>
      <c r="M53" s="4" t="inlineStr">
        <is>
          <t>Not started</t>
        </is>
      </c>
      <c r="N53" s="4" t="inlineStr">
        <is>
          <t>Not started</t>
        </is>
      </c>
      <c r="O53" s="4" t="inlineStr">
        <is>
          <t>Not started</t>
        </is>
      </c>
      <c r="P53" s="4" t="inlineStr">
        <is>
          <t>Not started</t>
        </is>
      </c>
    </row>
    <row r="54">
      <c r="A54" s="17" t="inlineStr">
        <is>
          <t>LS-082</t>
        </is>
      </c>
      <c r="B54" s="4">
        <f>Backlog!AA54</f>
        <v/>
      </c>
      <c r="C54" s="4" t="inlineStr">
        <is>
          <t>development</t>
        </is>
      </c>
      <c r="D54" s="4" t="inlineStr"/>
      <c r="E54" s="4" t="inlineStr">
        <is>
          <t>Not started</t>
        </is>
      </c>
      <c r="F54" s="4" t="inlineStr">
        <is>
          <t>Not started</t>
        </is>
      </c>
      <c r="G54" s="4" t="inlineStr">
        <is>
          <t>Not started</t>
        </is>
      </c>
      <c r="H54" s="4" t="inlineStr">
        <is>
          <t>Not started</t>
        </is>
      </c>
      <c r="I54" s="4" t="inlineStr">
        <is>
          <t>Not started</t>
        </is>
      </c>
      <c r="J54" s="4" t="inlineStr">
        <is>
          <t>Not started</t>
        </is>
      </c>
      <c r="K54" s="4" t="inlineStr">
        <is>
          <t>Not started</t>
        </is>
      </c>
      <c r="L54" s="4" t="inlineStr">
        <is>
          <t>Not started</t>
        </is>
      </c>
      <c r="M54" s="4" t="inlineStr">
        <is>
          <t>Not started</t>
        </is>
      </c>
      <c r="N54" s="4" t="inlineStr">
        <is>
          <t>Not started</t>
        </is>
      </c>
      <c r="O54" s="4" t="inlineStr">
        <is>
          <t>Not started</t>
        </is>
      </c>
      <c r="P54" s="4" t="inlineStr">
        <is>
          <t>Not started</t>
        </is>
      </c>
    </row>
    <row r="55">
      <c r="A55" s="17" t="inlineStr">
        <is>
          <t>LS-083</t>
        </is>
      </c>
      <c r="B55" s="4">
        <f>Backlog!AA55</f>
        <v/>
      </c>
      <c r="C55" s="4" t="inlineStr">
        <is>
          <t>development</t>
        </is>
      </c>
      <c r="D55" s="4" t="inlineStr"/>
      <c r="E55" s="4" t="inlineStr">
        <is>
          <t>Not started</t>
        </is>
      </c>
      <c r="F55" s="4" t="inlineStr">
        <is>
          <t>Not started</t>
        </is>
      </c>
      <c r="G55" s="4" t="inlineStr">
        <is>
          <t>Not started</t>
        </is>
      </c>
      <c r="H55" s="4" t="inlineStr">
        <is>
          <t>Not started</t>
        </is>
      </c>
      <c r="I55" s="4" t="inlineStr">
        <is>
          <t>Not started</t>
        </is>
      </c>
      <c r="J55" s="4" t="inlineStr">
        <is>
          <t>Not started</t>
        </is>
      </c>
      <c r="K55" s="4" t="inlineStr">
        <is>
          <t>Not started</t>
        </is>
      </c>
      <c r="L55" s="4" t="inlineStr">
        <is>
          <t>Not started</t>
        </is>
      </c>
      <c r="M55" s="4" t="inlineStr">
        <is>
          <t>Not started</t>
        </is>
      </c>
      <c r="N55" s="4" t="inlineStr">
        <is>
          <t>Not started</t>
        </is>
      </c>
      <c r="O55" s="4" t="inlineStr">
        <is>
          <t>Not started</t>
        </is>
      </c>
      <c r="P55" s="4" t="inlineStr">
        <is>
          <t>Not started</t>
        </is>
      </c>
    </row>
    <row r="56">
      <c r="A56" s="17" t="inlineStr">
        <is>
          <t>LS-084</t>
        </is>
      </c>
      <c r="B56" s="4">
        <f>Backlog!AA56</f>
        <v/>
      </c>
      <c r="C56" s="4" t="inlineStr">
        <is>
          <t>development</t>
        </is>
      </c>
      <c r="D56" s="4" t="inlineStr"/>
      <c r="E56" s="4" t="inlineStr">
        <is>
          <t>Not started</t>
        </is>
      </c>
      <c r="F56" s="4" t="inlineStr">
        <is>
          <t>Not started</t>
        </is>
      </c>
      <c r="G56" s="4" t="inlineStr">
        <is>
          <t>Not started</t>
        </is>
      </c>
      <c r="H56" s="4" t="inlineStr">
        <is>
          <t>Not started</t>
        </is>
      </c>
      <c r="I56" s="4" t="inlineStr">
        <is>
          <t>Not started</t>
        </is>
      </c>
      <c r="J56" s="4" t="inlineStr">
        <is>
          <t>Not started</t>
        </is>
      </c>
      <c r="K56" s="4" t="inlineStr">
        <is>
          <t>Not started</t>
        </is>
      </c>
      <c r="L56" s="4" t="inlineStr">
        <is>
          <t>Not started</t>
        </is>
      </c>
      <c r="M56" s="4" t="inlineStr">
        <is>
          <t>Not started</t>
        </is>
      </c>
      <c r="N56" s="4" t="inlineStr">
        <is>
          <t>Not started</t>
        </is>
      </c>
      <c r="O56" s="4" t="inlineStr">
        <is>
          <t>Not started</t>
        </is>
      </c>
      <c r="P56" s="4" t="inlineStr">
        <is>
          <t>Not started</t>
        </is>
      </c>
    </row>
    <row r="57">
      <c r="A57" s="17" t="inlineStr">
        <is>
          <t>LS-090</t>
        </is>
      </c>
      <c r="B57" s="4">
        <f>Backlog!AA57</f>
        <v/>
      </c>
      <c r="C57" s="4" t="inlineStr">
        <is>
          <t>development</t>
        </is>
      </c>
      <c r="D57" s="4" t="inlineStr"/>
      <c r="E57" s="4" t="inlineStr">
        <is>
          <t>Not started</t>
        </is>
      </c>
      <c r="F57" s="4" t="inlineStr">
        <is>
          <t>Not started</t>
        </is>
      </c>
      <c r="G57" s="4" t="inlineStr">
        <is>
          <t>Not started</t>
        </is>
      </c>
      <c r="H57" s="4" t="inlineStr">
        <is>
          <t>Not started</t>
        </is>
      </c>
      <c r="I57" s="4" t="inlineStr">
        <is>
          <t>Not started</t>
        </is>
      </c>
      <c r="J57" s="4" t="inlineStr">
        <is>
          <t>Not started</t>
        </is>
      </c>
      <c r="K57" s="4" t="inlineStr">
        <is>
          <t>Not started</t>
        </is>
      </c>
      <c r="L57" s="4" t="inlineStr">
        <is>
          <t>Not started</t>
        </is>
      </c>
      <c r="M57" s="4" t="inlineStr">
        <is>
          <t>Not started</t>
        </is>
      </c>
      <c r="N57" s="4" t="inlineStr">
        <is>
          <t>Not started</t>
        </is>
      </c>
      <c r="O57" s="4" t="inlineStr">
        <is>
          <t>Not started</t>
        </is>
      </c>
      <c r="P57" s="4" t="inlineStr">
        <is>
          <t>Not started</t>
        </is>
      </c>
    </row>
    <row r="58">
      <c r="A58" s="17" t="inlineStr">
        <is>
          <t>LS-091</t>
        </is>
      </c>
      <c r="B58" s="4">
        <f>Backlog!AA58</f>
        <v/>
      </c>
      <c r="C58" s="4" t="inlineStr">
        <is>
          <t>development</t>
        </is>
      </c>
      <c r="D58" s="4" t="inlineStr"/>
      <c r="E58" s="4" t="inlineStr">
        <is>
          <t>Not started</t>
        </is>
      </c>
      <c r="F58" s="4" t="inlineStr">
        <is>
          <t>Not started</t>
        </is>
      </c>
      <c r="G58" s="4" t="inlineStr">
        <is>
          <t>Not started</t>
        </is>
      </c>
      <c r="H58" s="4" t="inlineStr">
        <is>
          <t>Not started</t>
        </is>
      </c>
      <c r="I58" s="4" t="inlineStr">
        <is>
          <t>Not started</t>
        </is>
      </c>
      <c r="J58" s="4" t="inlineStr">
        <is>
          <t>Not started</t>
        </is>
      </c>
      <c r="K58" s="4" t="inlineStr">
        <is>
          <t>Not started</t>
        </is>
      </c>
      <c r="L58" s="4" t="inlineStr">
        <is>
          <t>Not started</t>
        </is>
      </c>
      <c r="M58" s="4" t="inlineStr">
        <is>
          <t>Not started</t>
        </is>
      </c>
      <c r="N58" s="4" t="inlineStr">
        <is>
          <t>Not started</t>
        </is>
      </c>
      <c r="O58" s="4" t="inlineStr">
        <is>
          <t>Not started</t>
        </is>
      </c>
      <c r="P58" s="4" t="inlineStr">
        <is>
          <t>Not started</t>
        </is>
      </c>
    </row>
    <row r="59">
      <c r="A59" s="17" t="inlineStr">
        <is>
          <t>LS-092</t>
        </is>
      </c>
      <c r="B59" s="4">
        <f>Backlog!AA59</f>
        <v/>
      </c>
      <c r="C59" s="4" t="inlineStr">
        <is>
          <t>development</t>
        </is>
      </c>
      <c r="D59" s="4" t="inlineStr"/>
      <c r="E59" s="4" t="inlineStr">
        <is>
          <t>Not started</t>
        </is>
      </c>
      <c r="F59" s="4" t="inlineStr">
        <is>
          <t>Not started</t>
        </is>
      </c>
      <c r="G59" s="4" t="inlineStr">
        <is>
          <t>Not started</t>
        </is>
      </c>
      <c r="H59" s="4" t="inlineStr">
        <is>
          <t>Not started</t>
        </is>
      </c>
      <c r="I59" s="4" t="inlineStr">
        <is>
          <t>Not started</t>
        </is>
      </c>
      <c r="J59" s="4" t="inlineStr">
        <is>
          <t>Not started</t>
        </is>
      </c>
      <c r="K59" s="4" t="inlineStr">
        <is>
          <t>Not started</t>
        </is>
      </c>
      <c r="L59" s="4" t="inlineStr">
        <is>
          <t>Not started</t>
        </is>
      </c>
      <c r="M59" s="4" t="inlineStr">
        <is>
          <t>Not started</t>
        </is>
      </c>
      <c r="N59" s="4" t="inlineStr">
        <is>
          <t>Not started</t>
        </is>
      </c>
      <c r="O59" s="4" t="inlineStr">
        <is>
          <t>Not started</t>
        </is>
      </c>
      <c r="P59" s="4" t="inlineStr">
        <is>
          <t>Not started</t>
        </is>
      </c>
    </row>
    <row r="60">
      <c r="A60" s="17" t="inlineStr">
        <is>
          <t>LS-093</t>
        </is>
      </c>
      <c r="B60" s="4">
        <f>Backlog!AA60</f>
        <v/>
      </c>
      <c r="C60" s="4" t="inlineStr">
        <is>
          <t>development</t>
        </is>
      </c>
      <c r="D60" s="4" t="inlineStr"/>
      <c r="E60" s="4" t="inlineStr">
        <is>
          <t>Not started</t>
        </is>
      </c>
      <c r="F60" s="4" t="inlineStr">
        <is>
          <t>Not started</t>
        </is>
      </c>
      <c r="G60" s="4" t="inlineStr">
        <is>
          <t>Not started</t>
        </is>
      </c>
      <c r="H60" s="4" t="inlineStr">
        <is>
          <t>Not started</t>
        </is>
      </c>
      <c r="I60" s="4" t="inlineStr">
        <is>
          <t>Not started</t>
        </is>
      </c>
      <c r="J60" s="4" t="inlineStr">
        <is>
          <t>Not started</t>
        </is>
      </c>
      <c r="K60" s="4" t="inlineStr">
        <is>
          <t>Not started</t>
        </is>
      </c>
      <c r="L60" s="4" t="inlineStr">
        <is>
          <t>Not started</t>
        </is>
      </c>
      <c r="M60" s="4" t="inlineStr">
        <is>
          <t>Not started</t>
        </is>
      </c>
      <c r="N60" s="4" t="inlineStr">
        <is>
          <t>Not started</t>
        </is>
      </c>
      <c r="O60" s="4" t="inlineStr">
        <is>
          <t>Not started</t>
        </is>
      </c>
      <c r="P60" s="4" t="inlineStr">
        <is>
          <t>Not started</t>
        </is>
      </c>
    </row>
    <row r="61">
      <c r="A61" s="17" t="inlineStr">
        <is>
          <t>LS-094</t>
        </is>
      </c>
      <c r="B61" s="4">
        <f>Backlog!AA61</f>
        <v/>
      </c>
      <c r="C61" s="4" t="inlineStr">
        <is>
          <t>development</t>
        </is>
      </c>
      <c r="D61" s="4" t="inlineStr"/>
      <c r="E61" s="4" t="inlineStr">
        <is>
          <t>Not started</t>
        </is>
      </c>
      <c r="F61" s="4" t="inlineStr">
        <is>
          <t>Not started</t>
        </is>
      </c>
      <c r="G61" s="4" t="inlineStr">
        <is>
          <t>Not started</t>
        </is>
      </c>
      <c r="H61" s="4" t="inlineStr">
        <is>
          <t>Not started</t>
        </is>
      </c>
      <c r="I61" s="4" t="inlineStr">
        <is>
          <t>Not started</t>
        </is>
      </c>
      <c r="J61" s="4" t="inlineStr">
        <is>
          <t>Not started</t>
        </is>
      </c>
      <c r="K61" s="4" t="inlineStr">
        <is>
          <t>Not started</t>
        </is>
      </c>
      <c r="L61" s="4" t="inlineStr">
        <is>
          <t>Not started</t>
        </is>
      </c>
      <c r="M61" s="4" t="inlineStr">
        <is>
          <t>Not started</t>
        </is>
      </c>
      <c r="N61" s="4" t="inlineStr">
        <is>
          <t>Not started</t>
        </is>
      </c>
      <c r="O61" s="4" t="inlineStr">
        <is>
          <t>Not started</t>
        </is>
      </c>
      <c r="P61" s="4" t="inlineStr">
        <is>
          <t>Not started</t>
        </is>
      </c>
    </row>
    <row r="62">
      <c r="A62" s="17" t="inlineStr">
        <is>
          <t>LS-100</t>
        </is>
      </c>
      <c r="B62" s="4">
        <f>Backlog!AA62</f>
        <v/>
      </c>
      <c r="C62" s="4" t="inlineStr">
        <is>
          <t>development</t>
        </is>
      </c>
      <c r="D62" s="4" t="inlineStr"/>
      <c r="E62" s="4" t="inlineStr">
        <is>
          <t>Not started</t>
        </is>
      </c>
      <c r="F62" s="4" t="inlineStr">
        <is>
          <t>Not started</t>
        </is>
      </c>
      <c r="G62" s="4" t="inlineStr">
        <is>
          <t>Not started</t>
        </is>
      </c>
      <c r="H62" s="4" t="inlineStr">
        <is>
          <t>Not started</t>
        </is>
      </c>
      <c r="I62" s="4" t="inlineStr">
        <is>
          <t>Not started</t>
        </is>
      </c>
      <c r="J62" s="4" t="inlineStr">
        <is>
          <t>Not started</t>
        </is>
      </c>
      <c r="K62" s="4" t="inlineStr">
        <is>
          <t>Not started</t>
        </is>
      </c>
      <c r="L62" s="4" t="inlineStr">
        <is>
          <t>Not started</t>
        </is>
      </c>
      <c r="M62" s="4" t="inlineStr">
        <is>
          <t>Not started</t>
        </is>
      </c>
      <c r="N62" s="4" t="inlineStr">
        <is>
          <t>Not started</t>
        </is>
      </c>
      <c r="O62" s="4" t="inlineStr">
        <is>
          <t>Not started</t>
        </is>
      </c>
      <c r="P62" s="4" t="inlineStr">
        <is>
          <t>Not started</t>
        </is>
      </c>
    </row>
    <row r="63">
      <c r="A63" s="17" t="inlineStr">
        <is>
          <t>LS-101</t>
        </is>
      </c>
      <c r="B63" s="4">
        <f>Backlog!AA63</f>
        <v/>
      </c>
      <c r="C63" s="4" t="inlineStr">
        <is>
          <t>development</t>
        </is>
      </c>
      <c r="D63" s="4" t="inlineStr"/>
      <c r="E63" s="4" t="inlineStr">
        <is>
          <t>Not started</t>
        </is>
      </c>
      <c r="F63" s="4" t="inlineStr">
        <is>
          <t>Not started</t>
        </is>
      </c>
      <c r="G63" s="4" t="inlineStr">
        <is>
          <t>Not started</t>
        </is>
      </c>
      <c r="H63" s="4" t="inlineStr">
        <is>
          <t>Not started</t>
        </is>
      </c>
      <c r="I63" s="4" t="inlineStr">
        <is>
          <t>Not started</t>
        </is>
      </c>
      <c r="J63" s="4" t="inlineStr">
        <is>
          <t>Not started</t>
        </is>
      </c>
      <c r="K63" s="4" t="inlineStr">
        <is>
          <t>Not started</t>
        </is>
      </c>
      <c r="L63" s="4" t="inlineStr">
        <is>
          <t>Not started</t>
        </is>
      </c>
      <c r="M63" s="4" t="inlineStr">
        <is>
          <t>Not started</t>
        </is>
      </c>
      <c r="N63" s="4" t="inlineStr">
        <is>
          <t>Not started</t>
        </is>
      </c>
      <c r="O63" s="4" t="inlineStr">
        <is>
          <t>Not started</t>
        </is>
      </c>
      <c r="P63" s="4" t="inlineStr">
        <is>
          <t>Not started</t>
        </is>
      </c>
    </row>
    <row r="64">
      <c r="A64" s="17" t="inlineStr">
        <is>
          <t>LS-110</t>
        </is>
      </c>
      <c r="B64" s="4">
        <f>Backlog!AA64</f>
        <v/>
      </c>
      <c r="C64" s="4" t="inlineStr">
        <is>
          <t>development</t>
        </is>
      </c>
      <c r="D64" s="4" t="inlineStr"/>
      <c r="E64" s="4" t="inlineStr">
        <is>
          <t>Not started</t>
        </is>
      </c>
      <c r="F64" s="4" t="inlineStr">
        <is>
          <t>Not started</t>
        </is>
      </c>
      <c r="G64" s="4" t="inlineStr">
        <is>
          <t>Not started</t>
        </is>
      </c>
      <c r="H64" s="4" t="inlineStr">
        <is>
          <t>Not started</t>
        </is>
      </c>
      <c r="I64" s="4" t="inlineStr">
        <is>
          <t>Not started</t>
        </is>
      </c>
      <c r="J64" s="4" t="inlineStr">
        <is>
          <t>Not started</t>
        </is>
      </c>
      <c r="K64" s="4" t="inlineStr">
        <is>
          <t>Not started</t>
        </is>
      </c>
      <c r="L64" s="4" t="inlineStr">
        <is>
          <t>Not started</t>
        </is>
      </c>
      <c r="M64" s="4" t="inlineStr">
        <is>
          <t>Not started</t>
        </is>
      </c>
      <c r="N64" s="4" t="inlineStr">
        <is>
          <t>Not started</t>
        </is>
      </c>
      <c r="O64" s="4" t="inlineStr">
        <is>
          <t>Not started</t>
        </is>
      </c>
      <c r="P64" s="4" t="inlineStr">
        <is>
          <t>Not started</t>
        </is>
      </c>
    </row>
    <row r="65">
      <c r="A65" s="17" t="inlineStr">
        <is>
          <t>LS-111</t>
        </is>
      </c>
      <c r="B65" s="4">
        <f>Backlog!AA65</f>
        <v/>
      </c>
      <c r="C65" s="4" t="inlineStr">
        <is>
          <t>development</t>
        </is>
      </c>
      <c r="D65" s="4" t="inlineStr"/>
      <c r="E65" s="4" t="inlineStr">
        <is>
          <t>Not started</t>
        </is>
      </c>
      <c r="F65" s="4" t="inlineStr">
        <is>
          <t>Not started</t>
        </is>
      </c>
      <c r="G65" s="4" t="inlineStr">
        <is>
          <t>Not started</t>
        </is>
      </c>
      <c r="H65" s="4" t="inlineStr">
        <is>
          <t>Not started</t>
        </is>
      </c>
      <c r="I65" s="4" t="inlineStr">
        <is>
          <t>Not started</t>
        </is>
      </c>
      <c r="J65" s="4" t="inlineStr">
        <is>
          <t>Not started</t>
        </is>
      </c>
      <c r="K65" s="4" t="inlineStr">
        <is>
          <t>Not started</t>
        </is>
      </c>
      <c r="L65" s="4" t="inlineStr">
        <is>
          <t>Not started</t>
        </is>
      </c>
      <c r="M65" s="4" t="inlineStr">
        <is>
          <t>Not started</t>
        </is>
      </c>
      <c r="N65" s="4" t="inlineStr">
        <is>
          <t>Not started</t>
        </is>
      </c>
      <c r="O65" s="4" t="inlineStr">
        <is>
          <t>Not started</t>
        </is>
      </c>
      <c r="P65" s="4" t="inlineStr">
        <is>
          <t>Not started</t>
        </is>
      </c>
    </row>
    <row r="66">
      <c r="A66" s="17" t="inlineStr">
        <is>
          <t>LS-112</t>
        </is>
      </c>
      <c r="B66" s="4">
        <f>Backlog!AA66</f>
        <v/>
      </c>
      <c r="C66" s="4" t="inlineStr">
        <is>
          <t>development</t>
        </is>
      </c>
      <c r="D66" s="4" t="inlineStr"/>
      <c r="E66" s="4" t="inlineStr">
        <is>
          <t>Not started</t>
        </is>
      </c>
      <c r="F66" s="4" t="inlineStr">
        <is>
          <t>Not started</t>
        </is>
      </c>
      <c r="G66" s="4" t="inlineStr">
        <is>
          <t>Not started</t>
        </is>
      </c>
      <c r="H66" s="4" t="inlineStr">
        <is>
          <t>Not started</t>
        </is>
      </c>
      <c r="I66" s="4" t="inlineStr">
        <is>
          <t>Not started</t>
        </is>
      </c>
      <c r="J66" s="4" t="inlineStr">
        <is>
          <t>Not started</t>
        </is>
      </c>
      <c r="K66" s="4" t="inlineStr">
        <is>
          <t>Not started</t>
        </is>
      </c>
      <c r="L66" s="4" t="inlineStr">
        <is>
          <t>Not started</t>
        </is>
      </c>
      <c r="M66" s="4" t="inlineStr">
        <is>
          <t>Not started</t>
        </is>
      </c>
      <c r="N66" s="4" t="inlineStr">
        <is>
          <t>Not started</t>
        </is>
      </c>
      <c r="O66" s="4" t="inlineStr">
        <is>
          <t>Not started</t>
        </is>
      </c>
      <c r="P66" s="4" t="inlineStr">
        <is>
          <t>Not started</t>
        </is>
      </c>
    </row>
    <row r="67">
      <c r="A67" s="17" t="inlineStr">
        <is>
          <t>LS-113</t>
        </is>
      </c>
      <c r="B67" s="4">
        <f>Backlog!AA67</f>
        <v/>
      </c>
      <c r="C67" s="4" t="inlineStr">
        <is>
          <t>development</t>
        </is>
      </c>
      <c r="D67" s="4" t="inlineStr"/>
      <c r="E67" s="4" t="inlineStr">
        <is>
          <t>Not started</t>
        </is>
      </c>
      <c r="F67" s="4" t="inlineStr">
        <is>
          <t>Not started</t>
        </is>
      </c>
      <c r="G67" s="4" t="inlineStr">
        <is>
          <t>Not started</t>
        </is>
      </c>
      <c r="H67" s="4" t="inlineStr">
        <is>
          <t>Not started</t>
        </is>
      </c>
      <c r="I67" s="4" t="inlineStr">
        <is>
          <t>Not started</t>
        </is>
      </c>
      <c r="J67" s="4" t="inlineStr">
        <is>
          <t>Not started</t>
        </is>
      </c>
      <c r="K67" s="4" t="inlineStr">
        <is>
          <t>Not started</t>
        </is>
      </c>
      <c r="L67" s="4" t="inlineStr">
        <is>
          <t>Not started</t>
        </is>
      </c>
      <c r="M67" s="4" t="inlineStr">
        <is>
          <t>Not started</t>
        </is>
      </c>
      <c r="N67" s="4" t="inlineStr">
        <is>
          <t>Not started</t>
        </is>
      </c>
      <c r="O67" s="4" t="inlineStr">
        <is>
          <t>Not started</t>
        </is>
      </c>
      <c r="P67" s="4" t="inlineStr">
        <is>
          <t>Not started</t>
        </is>
      </c>
    </row>
    <row r="68">
      <c r="A68" s="17" t="inlineStr">
        <is>
          <t>LS-114</t>
        </is>
      </c>
      <c r="B68" s="4">
        <f>Backlog!AA68</f>
        <v/>
      </c>
      <c r="C68" s="4" t="inlineStr">
        <is>
          <t>development</t>
        </is>
      </c>
      <c r="D68" s="4" t="inlineStr"/>
      <c r="E68" s="4" t="inlineStr">
        <is>
          <t>Not started</t>
        </is>
      </c>
      <c r="F68" s="4" t="inlineStr">
        <is>
          <t>Not started</t>
        </is>
      </c>
      <c r="G68" s="4" t="inlineStr">
        <is>
          <t>Not started</t>
        </is>
      </c>
      <c r="H68" s="4" t="inlineStr">
        <is>
          <t>Not started</t>
        </is>
      </c>
      <c r="I68" s="4" t="inlineStr">
        <is>
          <t>Not started</t>
        </is>
      </c>
      <c r="J68" s="4" t="inlineStr">
        <is>
          <t>Not started</t>
        </is>
      </c>
      <c r="K68" s="4" t="inlineStr">
        <is>
          <t>Not started</t>
        </is>
      </c>
      <c r="L68" s="4" t="inlineStr">
        <is>
          <t>Not started</t>
        </is>
      </c>
      <c r="M68" s="4" t="inlineStr">
        <is>
          <t>Not started</t>
        </is>
      </c>
      <c r="N68" s="4" t="inlineStr">
        <is>
          <t>Not started</t>
        </is>
      </c>
      <c r="O68" s="4" t="inlineStr">
        <is>
          <t>Not started</t>
        </is>
      </c>
      <c r="P68" s="4" t="inlineStr">
        <is>
          <t>Not started</t>
        </is>
      </c>
    </row>
    <row r="69">
      <c r="A69" s="17" t="inlineStr">
        <is>
          <t>LS-115</t>
        </is>
      </c>
      <c r="B69" s="4">
        <f>Backlog!AA69</f>
        <v/>
      </c>
      <c r="C69" s="4" t="inlineStr">
        <is>
          <t>development</t>
        </is>
      </c>
      <c r="D69" s="4" t="inlineStr"/>
      <c r="E69" s="4" t="inlineStr">
        <is>
          <t>Not started</t>
        </is>
      </c>
      <c r="F69" s="4" t="inlineStr">
        <is>
          <t>Not started</t>
        </is>
      </c>
      <c r="G69" s="4" t="inlineStr">
        <is>
          <t>Not started</t>
        </is>
      </c>
      <c r="H69" s="4" t="inlineStr">
        <is>
          <t>Not started</t>
        </is>
      </c>
      <c r="I69" s="4" t="inlineStr">
        <is>
          <t>Not started</t>
        </is>
      </c>
      <c r="J69" s="4" t="inlineStr">
        <is>
          <t>Not started</t>
        </is>
      </c>
      <c r="K69" s="4" t="inlineStr">
        <is>
          <t>Not started</t>
        </is>
      </c>
      <c r="L69" s="4" t="inlineStr">
        <is>
          <t>Not started</t>
        </is>
      </c>
      <c r="M69" s="4" t="inlineStr">
        <is>
          <t>Not started</t>
        </is>
      </c>
      <c r="N69" s="4" t="inlineStr">
        <is>
          <t>Not started</t>
        </is>
      </c>
      <c r="O69" s="4" t="inlineStr">
        <is>
          <t>Not started</t>
        </is>
      </c>
      <c r="P69" s="4" t="inlineStr">
        <is>
          <t>Not started</t>
        </is>
      </c>
    </row>
    <row r="70">
      <c r="A70" s="17" t="inlineStr">
        <is>
          <t>LS-120</t>
        </is>
      </c>
      <c r="B70" s="4">
        <f>Backlog!AA70</f>
        <v/>
      </c>
      <c r="C70" s="4" t="inlineStr">
        <is>
          <t>development</t>
        </is>
      </c>
      <c r="D70" s="4" t="inlineStr"/>
      <c r="E70" s="4" t="inlineStr">
        <is>
          <t>Not started</t>
        </is>
      </c>
      <c r="F70" s="4" t="inlineStr">
        <is>
          <t>Not started</t>
        </is>
      </c>
      <c r="G70" s="4" t="inlineStr">
        <is>
          <t>Not started</t>
        </is>
      </c>
      <c r="H70" s="4" t="inlineStr">
        <is>
          <t>Not started</t>
        </is>
      </c>
      <c r="I70" s="4" t="inlineStr">
        <is>
          <t>Not started</t>
        </is>
      </c>
      <c r="J70" s="4" t="inlineStr">
        <is>
          <t>Not started</t>
        </is>
      </c>
      <c r="K70" s="4" t="inlineStr">
        <is>
          <t>Not started</t>
        </is>
      </c>
      <c r="L70" s="4" t="inlineStr">
        <is>
          <t>Not started</t>
        </is>
      </c>
      <c r="M70" s="4" t="inlineStr">
        <is>
          <t>Not started</t>
        </is>
      </c>
      <c r="N70" s="4" t="inlineStr">
        <is>
          <t>Not started</t>
        </is>
      </c>
      <c r="O70" s="4" t="inlineStr">
        <is>
          <t>Not started</t>
        </is>
      </c>
      <c r="P70" s="4" t="inlineStr">
        <is>
          <t>Not started</t>
        </is>
      </c>
    </row>
    <row r="71">
      <c r="A71" s="17" t="inlineStr">
        <is>
          <t>LS-121</t>
        </is>
      </c>
      <c r="B71" s="4">
        <f>Backlog!AA71</f>
        <v/>
      </c>
      <c r="C71" s="4" t="inlineStr">
        <is>
          <t>development</t>
        </is>
      </c>
      <c r="D71" s="4" t="inlineStr"/>
      <c r="E71" s="4" t="inlineStr">
        <is>
          <t>Not started</t>
        </is>
      </c>
      <c r="F71" s="4" t="inlineStr">
        <is>
          <t>Not started</t>
        </is>
      </c>
      <c r="G71" s="4" t="inlineStr">
        <is>
          <t>Not started</t>
        </is>
      </c>
      <c r="H71" s="4" t="inlineStr">
        <is>
          <t>Not started</t>
        </is>
      </c>
      <c r="I71" s="4" t="inlineStr">
        <is>
          <t>Not started</t>
        </is>
      </c>
      <c r="J71" s="4" t="inlineStr">
        <is>
          <t>Not started</t>
        </is>
      </c>
      <c r="K71" s="4" t="inlineStr">
        <is>
          <t>Not started</t>
        </is>
      </c>
      <c r="L71" s="4" t="inlineStr">
        <is>
          <t>Not started</t>
        </is>
      </c>
      <c r="M71" s="4" t="inlineStr">
        <is>
          <t>Not started</t>
        </is>
      </c>
      <c r="N71" s="4" t="inlineStr">
        <is>
          <t>Not started</t>
        </is>
      </c>
      <c r="O71" s="4" t="inlineStr">
        <is>
          <t>Not started</t>
        </is>
      </c>
      <c r="P71" s="4" t="inlineStr">
        <is>
          <t>Not started</t>
        </is>
      </c>
    </row>
    <row r="72">
      <c r="A72" s="17" t="inlineStr">
        <is>
          <t>LS-122</t>
        </is>
      </c>
      <c r="B72" s="4">
        <f>Backlog!AA72</f>
        <v/>
      </c>
      <c r="C72" s="4" t="inlineStr">
        <is>
          <t>development</t>
        </is>
      </c>
      <c r="D72" s="4" t="inlineStr"/>
      <c r="E72" s="4" t="inlineStr">
        <is>
          <t>Not started</t>
        </is>
      </c>
      <c r="F72" s="4" t="inlineStr">
        <is>
          <t>Not started</t>
        </is>
      </c>
      <c r="G72" s="4" t="inlineStr">
        <is>
          <t>Not started</t>
        </is>
      </c>
      <c r="H72" s="4" t="inlineStr">
        <is>
          <t>Not started</t>
        </is>
      </c>
      <c r="I72" s="4" t="inlineStr">
        <is>
          <t>Not started</t>
        </is>
      </c>
      <c r="J72" s="4" t="inlineStr">
        <is>
          <t>Not started</t>
        </is>
      </c>
      <c r="K72" s="4" t="inlineStr">
        <is>
          <t>Not started</t>
        </is>
      </c>
      <c r="L72" s="4" t="inlineStr">
        <is>
          <t>Not started</t>
        </is>
      </c>
      <c r="M72" s="4" t="inlineStr">
        <is>
          <t>Not started</t>
        </is>
      </c>
      <c r="N72" s="4" t="inlineStr">
        <is>
          <t>Not started</t>
        </is>
      </c>
      <c r="O72" s="4" t="inlineStr">
        <is>
          <t>Not started</t>
        </is>
      </c>
      <c r="P72" s="4" t="inlineStr">
        <is>
          <t>Not started</t>
        </is>
      </c>
    </row>
    <row r="73">
      <c r="A73" s="17" t="inlineStr">
        <is>
          <t>LS-123</t>
        </is>
      </c>
      <c r="B73" s="4">
        <f>Backlog!AA73</f>
        <v/>
      </c>
      <c r="C73" s="4" t="inlineStr">
        <is>
          <t>development</t>
        </is>
      </c>
      <c r="D73" s="4" t="inlineStr"/>
      <c r="E73" s="4" t="inlineStr">
        <is>
          <t>Not started</t>
        </is>
      </c>
      <c r="F73" s="4" t="inlineStr">
        <is>
          <t>Not started</t>
        </is>
      </c>
      <c r="G73" s="4" t="inlineStr">
        <is>
          <t>Not started</t>
        </is>
      </c>
      <c r="H73" s="4" t="inlineStr">
        <is>
          <t>Not started</t>
        </is>
      </c>
      <c r="I73" s="4" t="inlineStr">
        <is>
          <t>Not started</t>
        </is>
      </c>
      <c r="J73" s="4" t="inlineStr">
        <is>
          <t>Not started</t>
        </is>
      </c>
      <c r="K73" s="4" t="inlineStr">
        <is>
          <t>Not started</t>
        </is>
      </c>
      <c r="L73" s="4" t="inlineStr">
        <is>
          <t>Not started</t>
        </is>
      </c>
      <c r="M73" s="4" t="inlineStr">
        <is>
          <t>Not started</t>
        </is>
      </c>
      <c r="N73" s="4" t="inlineStr">
        <is>
          <t>Not started</t>
        </is>
      </c>
      <c r="O73" s="4" t="inlineStr">
        <is>
          <t>Not started</t>
        </is>
      </c>
      <c r="P73" s="4" t="inlineStr">
        <is>
          <t>Not started</t>
        </is>
      </c>
    </row>
    <row r="74">
      <c r="A74" s="17" t="inlineStr">
        <is>
          <t>LS-124</t>
        </is>
      </c>
      <c r="B74" s="4">
        <f>Backlog!AA74</f>
        <v/>
      </c>
      <c r="C74" s="4" t="inlineStr">
        <is>
          <t>development</t>
        </is>
      </c>
      <c r="D74" s="4" t="inlineStr"/>
      <c r="E74" s="4" t="inlineStr">
        <is>
          <t>Not started</t>
        </is>
      </c>
      <c r="F74" s="4" t="inlineStr">
        <is>
          <t>Not started</t>
        </is>
      </c>
      <c r="G74" s="4" t="inlineStr">
        <is>
          <t>Not started</t>
        </is>
      </c>
      <c r="H74" s="4" t="inlineStr">
        <is>
          <t>Not started</t>
        </is>
      </c>
      <c r="I74" s="4" t="inlineStr">
        <is>
          <t>Not started</t>
        </is>
      </c>
      <c r="J74" s="4" t="inlineStr">
        <is>
          <t>Not started</t>
        </is>
      </c>
      <c r="K74" s="4" t="inlineStr">
        <is>
          <t>Not started</t>
        </is>
      </c>
      <c r="L74" s="4" t="inlineStr">
        <is>
          <t>Not started</t>
        </is>
      </c>
      <c r="M74" s="4" t="inlineStr">
        <is>
          <t>Not started</t>
        </is>
      </c>
      <c r="N74" s="4" t="inlineStr">
        <is>
          <t>Not started</t>
        </is>
      </c>
      <c r="O74" s="4" t="inlineStr">
        <is>
          <t>Not started</t>
        </is>
      </c>
      <c r="P74" s="4" t="inlineStr">
        <is>
          <t>Not started</t>
        </is>
      </c>
    </row>
    <row r="75">
      <c r="A75" s="17" t="inlineStr">
        <is>
          <t>LS-125</t>
        </is>
      </c>
      <c r="B75" s="4">
        <f>Backlog!AA75</f>
        <v/>
      </c>
      <c r="C75" s="4" t="inlineStr">
        <is>
          <t>development</t>
        </is>
      </c>
      <c r="D75" s="4" t="inlineStr"/>
      <c r="E75" s="4" t="inlineStr">
        <is>
          <t>Not started</t>
        </is>
      </c>
      <c r="F75" s="4" t="inlineStr">
        <is>
          <t>Not started</t>
        </is>
      </c>
      <c r="G75" s="4" t="inlineStr">
        <is>
          <t>Not started</t>
        </is>
      </c>
      <c r="H75" s="4" t="inlineStr">
        <is>
          <t>Not started</t>
        </is>
      </c>
      <c r="I75" s="4" t="inlineStr">
        <is>
          <t>Not started</t>
        </is>
      </c>
      <c r="J75" s="4" t="inlineStr">
        <is>
          <t>Not started</t>
        </is>
      </c>
      <c r="K75" s="4" t="inlineStr">
        <is>
          <t>Not started</t>
        </is>
      </c>
      <c r="L75" s="4" t="inlineStr">
        <is>
          <t>Not started</t>
        </is>
      </c>
      <c r="M75" s="4" t="inlineStr">
        <is>
          <t>Not started</t>
        </is>
      </c>
      <c r="N75" s="4" t="inlineStr">
        <is>
          <t>Not started</t>
        </is>
      </c>
      <c r="O75" s="4" t="inlineStr">
        <is>
          <t>Not started</t>
        </is>
      </c>
      <c r="P75" s="4" t="inlineStr">
        <is>
          <t>Not started</t>
        </is>
      </c>
    </row>
    <row r="76">
      <c r="A76" s="17" t="inlineStr">
        <is>
          <t>LS-126</t>
        </is>
      </c>
      <c r="B76" s="4">
        <f>Backlog!AA76</f>
        <v/>
      </c>
      <c r="C76" s="4" t="inlineStr">
        <is>
          <t>development</t>
        </is>
      </c>
      <c r="D76" s="4" t="inlineStr"/>
      <c r="E76" s="4" t="inlineStr">
        <is>
          <t>Not started</t>
        </is>
      </c>
      <c r="F76" s="4" t="inlineStr">
        <is>
          <t>Not started</t>
        </is>
      </c>
      <c r="G76" s="4" t="inlineStr">
        <is>
          <t>Not started</t>
        </is>
      </c>
      <c r="H76" s="4" t="inlineStr">
        <is>
          <t>Not started</t>
        </is>
      </c>
      <c r="I76" s="4" t="inlineStr">
        <is>
          <t>Not started</t>
        </is>
      </c>
      <c r="J76" s="4" t="inlineStr">
        <is>
          <t>Not started</t>
        </is>
      </c>
      <c r="K76" s="4" t="inlineStr">
        <is>
          <t>Not started</t>
        </is>
      </c>
      <c r="L76" s="4" t="inlineStr">
        <is>
          <t>Not started</t>
        </is>
      </c>
      <c r="M76" s="4" t="inlineStr">
        <is>
          <t>Not started</t>
        </is>
      </c>
      <c r="N76" s="4" t="inlineStr">
        <is>
          <t>Not started</t>
        </is>
      </c>
      <c r="O76" s="4" t="inlineStr">
        <is>
          <t>Not started</t>
        </is>
      </c>
      <c r="P76" s="4" t="inlineStr">
        <is>
          <t>Not started</t>
        </is>
      </c>
    </row>
    <row r="77">
      <c r="A77" s="17" t="inlineStr">
        <is>
          <t>LS-130</t>
        </is>
      </c>
      <c r="B77" s="4">
        <f>Backlog!AA77</f>
        <v/>
      </c>
      <c r="C77" s="4" t="inlineStr">
        <is>
          <t>development</t>
        </is>
      </c>
      <c r="D77" s="4" t="inlineStr"/>
      <c r="E77" s="4" t="inlineStr">
        <is>
          <t>Not started</t>
        </is>
      </c>
      <c r="F77" s="4" t="inlineStr">
        <is>
          <t>Not started</t>
        </is>
      </c>
      <c r="G77" s="4" t="inlineStr">
        <is>
          <t>Not started</t>
        </is>
      </c>
      <c r="H77" s="4" t="inlineStr">
        <is>
          <t>Not started</t>
        </is>
      </c>
      <c r="I77" s="4" t="inlineStr">
        <is>
          <t>Not started</t>
        </is>
      </c>
      <c r="J77" s="4" t="inlineStr">
        <is>
          <t>Not started</t>
        </is>
      </c>
      <c r="K77" s="4" t="inlineStr">
        <is>
          <t>Not started</t>
        </is>
      </c>
      <c r="L77" s="4" t="inlineStr">
        <is>
          <t>Not started</t>
        </is>
      </c>
      <c r="M77" s="4" t="inlineStr">
        <is>
          <t>Not started</t>
        </is>
      </c>
      <c r="N77" s="4" t="inlineStr">
        <is>
          <t>Not started</t>
        </is>
      </c>
      <c r="O77" s="4" t="inlineStr">
        <is>
          <t>Not started</t>
        </is>
      </c>
      <c r="P77" s="4" t="inlineStr">
        <is>
          <t>Not started</t>
        </is>
      </c>
    </row>
    <row r="78">
      <c r="A78" s="17" t="inlineStr">
        <is>
          <t>LS-131</t>
        </is>
      </c>
      <c r="B78" s="4">
        <f>Backlog!AA78</f>
        <v/>
      </c>
      <c r="C78" s="4" t="inlineStr">
        <is>
          <t>development</t>
        </is>
      </c>
      <c r="D78" s="4" t="inlineStr"/>
      <c r="E78" s="4" t="inlineStr">
        <is>
          <t>Not started</t>
        </is>
      </c>
      <c r="F78" s="4" t="inlineStr">
        <is>
          <t>Not started</t>
        </is>
      </c>
      <c r="G78" s="4" t="inlineStr">
        <is>
          <t>Not started</t>
        </is>
      </c>
      <c r="H78" s="4" t="inlineStr">
        <is>
          <t>Not started</t>
        </is>
      </c>
      <c r="I78" s="4" t="inlineStr">
        <is>
          <t>Not started</t>
        </is>
      </c>
      <c r="J78" s="4" t="inlineStr">
        <is>
          <t>Not started</t>
        </is>
      </c>
      <c r="K78" s="4" t="inlineStr">
        <is>
          <t>Not started</t>
        </is>
      </c>
      <c r="L78" s="4" t="inlineStr">
        <is>
          <t>Not started</t>
        </is>
      </c>
      <c r="M78" s="4" t="inlineStr">
        <is>
          <t>Not started</t>
        </is>
      </c>
      <c r="N78" s="4" t="inlineStr">
        <is>
          <t>Not started</t>
        </is>
      </c>
      <c r="O78" s="4" t="inlineStr">
        <is>
          <t>Not started</t>
        </is>
      </c>
      <c r="P78" s="4" t="inlineStr">
        <is>
          <t>Not started</t>
        </is>
      </c>
    </row>
    <row r="79">
      <c r="A79" s="17" t="inlineStr">
        <is>
          <t>LS-132</t>
        </is>
      </c>
      <c r="B79" s="4">
        <f>Backlog!AA79</f>
        <v/>
      </c>
      <c r="C79" s="4" t="inlineStr">
        <is>
          <t>development</t>
        </is>
      </c>
      <c r="D79" s="4" t="inlineStr"/>
      <c r="E79" s="4" t="inlineStr">
        <is>
          <t>Not started</t>
        </is>
      </c>
      <c r="F79" s="4" t="inlineStr">
        <is>
          <t>Not started</t>
        </is>
      </c>
      <c r="G79" s="4" t="inlineStr">
        <is>
          <t>Not started</t>
        </is>
      </c>
      <c r="H79" s="4" t="inlineStr">
        <is>
          <t>Not started</t>
        </is>
      </c>
      <c r="I79" s="4" t="inlineStr">
        <is>
          <t>Not started</t>
        </is>
      </c>
      <c r="J79" s="4" t="inlineStr">
        <is>
          <t>Not started</t>
        </is>
      </c>
      <c r="K79" s="4" t="inlineStr">
        <is>
          <t>Not started</t>
        </is>
      </c>
      <c r="L79" s="4" t="inlineStr">
        <is>
          <t>Not started</t>
        </is>
      </c>
      <c r="M79" s="4" t="inlineStr">
        <is>
          <t>Not started</t>
        </is>
      </c>
      <c r="N79" s="4" t="inlineStr">
        <is>
          <t>Not started</t>
        </is>
      </c>
      <c r="O79" s="4" t="inlineStr">
        <is>
          <t>Not started</t>
        </is>
      </c>
      <c r="P79" s="4" t="inlineStr">
        <is>
          <t>Not started</t>
        </is>
      </c>
    </row>
    <row r="80">
      <c r="A80" s="17" t="inlineStr">
        <is>
          <t>LS-133</t>
        </is>
      </c>
      <c r="B80" s="4">
        <f>Backlog!AA80</f>
        <v/>
      </c>
      <c r="C80" s="4" t="inlineStr">
        <is>
          <t>development</t>
        </is>
      </c>
      <c r="D80" s="4" t="inlineStr"/>
      <c r="E80" s="4" t="inlineStr">
        <is>
          <t>Not started</t>
        </is>
      </c>
      <c r="F80" s="4" t="inlineStr">
        <is>
          <t>Not started</t>
        </is>
      </c>
      <c r="G80" s="4" t="inlineStr">
        <is>
          <t>Not started</t>
        </is>
      </c>
      <c r="H80" s="4" t="inlineStr">
        <is>
          <t>Not started</t>
        </is>
      </c>
      <c r="I80" s="4" t="inlineStr">
        <is>
          <t>Not started</t>
        </is>
      </c>
      <c r="J80" s="4" t="inlineStr">
        <is>
          <t>Not started</t>
        </is>
      </c>
      <c r="K80" s="4" t="inlineStr">
        <is>
          <t>Not started</t>
        </is>
      </c>
      <c r="L80" s="4" t="inlineStr">
        <is>
          <t>Not started</t>
        </is>
      </c>
      <c r="M80" s="4" t="inlineStr">
        <is>
          <t>Not started</t>
        </is>
      </c>
      <c r="N80" s="4" t="inlineStr">
        <is>
          <t>Not started</t>
        </is>
      </c>
      <c r="O80" s="4" t="inlineStr">
        <is>
          <t>Not started</t>
        </is>
      </c>
      <c r="P80" s="4" t="inlineStr">
        <is>
          <t>Not started</t>
        </is>
      </c>
    </row>
    <row r="81">
      <c r="A81" s="17" t="inlineStr">
        <is>
          <t>LS-140</t>
        </is>
      </c>
      <c r="B81" s="4">
        <f>Backlog!AA81</f>
        <v/>
      </c>
      <c r="C81" s="4" t="inlineStr">
        <is>
          <t>development</t>
        </is>
      </c>
      <c r="D81" s="4" t="inlineStr"/>
      <c r="E81" s="4" t="inlineStr">
        <is>
          <t>Not started</t>
        </is>
      </c>
      <c r="F81" s="4" t="inlineStr">
        <is>
          <t>Not started</t>
        </is>
      </c>
      <c r="G81" s="4" t="inlineStr">
        <is>
          <t>Not started</t>
        </is>
      </c>
      <c r="H81" s="4" t="inlineStr">
        <is>
          <t>Not started</t>
        </is>
      </c>
      <c r="I81" s="4" t="inlineStr">
        <is>
          <t>Not started</t>
        </is>
      </c>
      <c r="J81" s="4" t="inlineStr">
        <is>
          <t>Not started</t>
        </is>
      </c>
      <c r="K81" s="4" t="inlineStr">
        <is>
          <t>Not started</t>
        </is>
      </c>
      <c r="L81" s="4" t="inlineStr">
        <is>
          <t>Not started</t>
        </is>
      </c>
      <c r="M81" s="4" t="inlineStr">
        <is>
          <t>Not started</t>
        </is>
      </c>
      <c r="N81" s="4" t="inlineStr">
        <is>
          <t>Not started</t>
        </is>
      </c>
      <c r="O81" s="4" t="inlineStr">
        <is>
          <t>Not started</t>
        </is>
      </c>
      <c r="P81" s="4" t="inlineStr">
        <is>
          <t>Not started</t>
        </is>
      </c>
    </row>
    <row r="82">
      <c r="A82" s="17" t="inlineStr">
        <is>
          <t>LS-141</t>
        </is>
      </c>
      <c r="B82" s="4">
        <f>Backlog!AA82</f>
        <v/>
      </c>
      <c r="C82" s="4" t="inlineStr">
        <is>
          <t>development</t>
        </is>
      </c>
      <c r="D82" s="4" t="inlineStr"/>
      <c r="E82" s="4" t="inlineStr">
        <is>
          <t>Not started</t>
        </is>
      </c>
      <c r="F82" s="4" t="inlineStr">
        <is>
          <t>Not started</t>
        </is>
      </c>
      <c r="G82" s="4" t="inlineStr">
        <is>
          <t>Not started</t>
        </is>
      </c>
      <c r="H82" s="4" t="inlineStr">
        <is>
          <t>Not started</t>
        </is>
      </c>
      <c r="I82" s="4" t="inlineStr">
        <is>
          <t>Not started</t>
        </is>
      </c>
      <c r="J82" s="4" t="inlineStr">
        <is>
          <t>Not started</t>
        </is>
      </c>
      <c r="K82" s="4" t="inlineStr">
        <is>
          <t>Not started</t>
        </is>
      </c>
      <c r="L82" s="4" t="inlineStr">
        <is>
          <t>Not started</t>
        </is>
      </c>
      <c r="M82" s="4" t="inlineStr">
        <is>
          <t>Not started</t>
        </is>
      </c>
      <c r="N82" s="4" t="inlineStr">
        <is>
          <t>Not started</t>
        </is>
      </c>
      <c r="O82" s="4" t="inlineStr">
        <is>
          <t>Not started</t>
        </is>
      </c>
      <c r="P82" s="4" t="inlineStr">
        <is>
          <t>Not started</t>
        </is>
      </c>
    </row>
    <row r="83">
      <c r="A83" s="17" t="inlineStr">
        <is>
          <t>LS-150</t>
        </is>
      </c>
      <c r="B83" s="4">
        <f>Backlog!AA83</f>
        <v/>
      </c>
      <c r="C83" s="4" t="inlineStr">
        <is>
          <t>development</t>
        </is>
      </c>
      <c r="D83" s="4" t="inlineStr"/>
      <c r="E83" s="4" t="inlineStr">
        <is>
          <t>Not started</t>
        </is>
      </c>
      <c r="F83" s="4" t="inlineStr">
        <is>
          <t>Not started</t>
        </is>
      </c>
      <c r="G83" s="4" t="inlineStr">
        <is>
          <t>Not started</t>
        </is>
      </c>
      <c r="H83" s="4" t="inlineStr">
        <is>
          <t>Not started</t>
        </is>
      </c>
      <c r="I83" s="4" t="inlineStr">
        <is>
          <t>Not started</t>
        </is>
      </c>
      <c r="J83" s="4" t="inlineStr">
        <is>
          <t>Not started</t>
        </is>
      </c>
      <c r="K83" s="4" t="inlineStr">
        <is>
          <t>Not started</t>
        </is>
      </c>
      <c r="L83" s="4" t="inlineStr">
        <is>
          <t>Not started</t>
        </is>
      </c>
      <c r="M83" s="4" t="inlineStr">
        <is>
          <t>Not started</t>
        </is>
      </c>
      <c r="N83" s="4" t="inlineStr">
        <is>
          <t>Not started</t>
        </is>
      </c>
      <c r="O83" s="4" t="inlineStr">
        <is>
          <t>Not started</t>
        </is>
      </c>
      <c r="P83" s="4" t="inlineStr">
        <is>
          <t>Not started</t>
        </is>
      </c>
    </row>
    <row r="84">
      <c r="A84" s="17" t="inlineStr">
        <is>
          <t>LS-009</t>
        </is>
      </c>
      <c r="B84" s="4" t="inlineStr">
        <is>
          <t>–</t>
        </is>
      </c>
      <c r="C84" s="4" t="inlineStr">
        <is>
          <t>–</t>
        </is>
      </c>
      <c r="D84" s="4" t="inlineStr">
        <is>
          <t>–</t>
        </is>
      </c>
      <c r="E84" s="4" t="inlineStr">
        <is>
          <t>N/A</t>
        </is>
      </c>
      <c r="F84" s="4" t="inlineStr">
        <is>
          <t>N/A</t>
        </is>
      </c>
      <c r="G84" s="4" t="inlineStr">
        <is>
          <t>N/A</t>
        </is>
      </c>
      <c r="H84" s="4" t="inlineStr">
        <is>
          <t>N/A</t>
        </is>
      </c>
      <c r="I84" s="4" t="inlineStr">
        <is>
          <t>N/A</t>
        </is>
      </c>
      <c r="J84" s="4" t="inlineStr">
        <is>
          <t>N/A</t>
        </is>
      </c>
      <c r="K84" s="4" t="inlineStr">
        <is>
          <t>N/A</t>
        </is>
      </c>
      <c r="L84" s="4" t="inlineStr">
        <is>
          <t>N/A</t>
        </is>
      </c>
      <c r="M84" s="4" t="inlineStr">
        <is>
          <t>N/A</t>
        </is>
      </c>
      <c r="N84" s="4" t="inlineStr">
        <is>
          <t>N/A</t>
        </is>
      </c>
      <c r="O84" s="4" t="inlineStr">
        <is>
          <t>N/A</t>
        </is>
      </c>
      <c r="P84" s="4" t="inlineStr">
        <is>
          <t>N/A</t>
        </is>
      </c>
    </row>
    <row r="85">
      <c r="A85" s="17" t="inlineStr">
        <is>
          <t>LS-039</t>
        </is>
      </c>
      <c r="B85" s="4" t="inlineStr">
        <is>
          <t>–</t>
        </is>
      </c>
      <c r="C85" s="4" t="inlineStr">
        <is>
          <t>–</t>
        </is>
      </c>
      <c r="D85" s="4" t="inlineStr">
        <is>
          <t>–</t>
        </is>
      </c>
      <c r="E85" s="4" t="inlineStr">
        <is>
          <t>N/A</t>
        </is>
      </c>
      <c r="F85" s="4" t="inlineStr">
        <is>
          <t>N/A</t>
        </is>
      </c>
      <c r="G85" s="4" t="inlineStr">
        <is>
          <t>N/A</t>
        </is>
      </c>
      <c r="H85" s="4" t="inlineStr">
        <is>
          <t>N/A</t>
        </is>
      </c>
      <c r="I85" s="4" t="inlineStr">
        <is>
          <t>N/A</t>
        </is>
      </c>
      <c r="J85" s="4" t="inlineStr">
        <is>
          <t>N/A</t>
        </is>
      </c>
      <c r="K85" s="4" t="inlineStr">
        <is>
          <t>N/A</t>
        </is>
      </c>
      <c r="L85" s="4" t="inlineStr">
        <is>
          <t>N/A</t>
        </is>
      </c>
      <c r="M85" s="4" t="inlineStr">
        <is>
          <t>N/A</t>
        </is>
      </c>
      <c r="N85" s="4" t="inlineStr">
        <is>
          <t>N/A</t>
        </is>
      </c>
      <c r="O85" s="4" t="inlineStr">
        <is>
          <t>N/A</t>
        </is>
      </c>
      <c r="P85" s="4" t="inlineStr">
        <is>
          <t>N/A</t>
        </is>
      </c>
    </row>
  </sheetData>
  <autoFilter ref="A1:P83"/>
  <conditionalFormatting sqref="E2:P83">
    <cfRule type="cellIs" priority="1" operator="equal" dxfId="9">
      <formula>"Pass"</formula>
    </cfRule>
    <cfRule type="cellIs" priority="2" operator="equal" dxfId="8">
      <formula>"Fail"</formula>
    </cfRule>
    <cfRule type="cellIs" priority="3" operator="equal" dxfId="1">
      <formula>"Pending"</formula>
    </cfRule>
  </conditionalFormatting>
  <dataValidations count="1">
    <dataValidation sqref="E2:P83" showDropDown="0" showInputMessage="0" showErrorMessage="0" allowBlank="1" type="list">
      <formula1>=Lists!$K$2:$K$6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87A54"/>
    <outlinePr summaryBelow="1" summaryRight="1"/>
    <pageSetUpPr/>
  </sheetPr>
  <dimension ref="A1:I296"/>
  <sheetViews>
    <sheetView zoomScale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50" customWidth="1" min="3" max="3"/>
    <col width="50" customWidth="1" min="4" max="4"/>
    <col width="30" customWidth="1" min="5" max="5"/>
    <col width="30" customWidth="1" min="6" max="6"/>
    <col width="18" customWidth="1" min="7" max="7"/>
    <col width="14" customWidth="1" min="8" max="8"/>
    <col width="24" customWidth="1" min="9" max="9"/>
  </cols>
  <sheetData>
    <row r="1" ht="32" customHeight="1">
      <c r="A1" s="20" t="inlineStr">
        <is>
          <t>String Key</t>
        </is>
      </c>
      <c r="B1" s="20" t="inlineStr">
        <is>
          <t>Module / File</t>
        </is>
      </c>
      <c r="C1" s="20" t="inlineStr">
        <is>
          <t>English (values/)</t>
        </is>
      </c>
      <c r="D1" s="20" t="inlineStr">
        <is>
          <t>Kannada (values-kn/)</t>
        </is>
      </c>
      <c r="E1" s="20" t="inlineStr">
        <is>
          <t>Context / Screen</t>
        </is>
      </c>
      <c r="F1" s="20" t="inlineStr">
        <is>
          <t>Max Length / Constraint</t>
        </is>
      </c>
      <c r="G1" s="20" t="inlineStr">
        <is>
          <t>Translation Status</t>
        </is>
      </c>
      <c r="H1" s="20" t="inlineStr">
        <is>
          <t>Reviewer</t>
        </is>
      </c>
      <c r="I1" s="20" t="inlineStr">
        <is>
          <t>Notes</t>
        </is>
      </c>
    </row>
    <row r="2" ht="18" customHeight="1">
      <c r="A2" s="17" t="inlineStr">
        <is>
          <t>app_name</t>
        </is>
      </c>
      <c r="B2" s="4" t="inlineStr">
        <is>
          <t>app · strings.xml</t>
        </is>
      </c>
      <c r="C2" s="4" t="inlineStr">
        <is>
          <t>LittleStory</t>
        </is>
      </c>
      <c r="D2" s="63" t="inlineStr"/>
      <c r="E2" s="4" t="inlineStr">
        <is>
          <t>Brand wordmark</t>
        </is>
      </c>
      <c r="F2" s="4" t="inlineStr">
        <is>
          <t>Do not translate (brand) – confirm</t>
        </is>
      </c>
      <c r="G2" s="4" t="inlineStr">
        <is>
          <t>Missing</t>
        </is>
      </c>
      <c r="H2" s="4" t="inlineStr"/>
      <c r="I2" s="4" t="inlineStr"/>
    </row>
    <row r="3" ht="31" customHeight="1">
      <c r="A3" s="17" t="inlineStr">
        <is>
          <t>app_tagline</t>
        </is>
      </c>
      <c r="B3" s="4" t="inlineStr">
        <is>
          <t>core:ui · strings.xml</t>
        </is>
      </c>
      <c r="C3" s="4" t="inlineStr">
        <is>
          <t>Little Stories. Big Imagination.</t>
        </is>
      </c>
      <c r="D3" s="63" t="inlineStr"/>
      <c r="E3" s="4" t="inlineStr">
        <is>
          <t>Onboarding eyebrow (uppercased by style)</t>
        </is>
      </c>
      <c r="F3" s="4" t="inlineStr">
        <is>
          <t>Single line</t>
        </is>
      </c>
      <c r="G3" s="4" t="inlineStr">
        <is>
          <t>Missing</t>
        </is>
      </c>
      <c r="H3" s="4" t="inlineStr"/>
      <c r="I3" s="4" t="inlineStr"/>
    </row>
    <row r="4" ht="18" customHeight="1">
      <c r="A4" s="17" t="inlineStr">
        <is>
          <t>action_continue</t>
        </is>
      </c>
      <c r="B4" s="4" t="inlineStr">
        <is>
          <t>core:ui · strings.xml</t>
        </is>
      </c>
      <c r="C4" s="4" t="inlineStr">
        <is>
          <t>Continue</t>
        </is>
      </c>
      <c r="D4" s="63" t="inlineStr"/>
      <c r="E4" s="4" t="inlineStr">
        <is>
          <t>Buttons</t>
        </is>
      </c>
      <c r="F4" s="4" t="inlineStr">
        <is>
          <t>Button</t>
        </is>
      </c>
      <c r="G4" s="4" t="inlineStr">
        <is>
          <t>Missing</t>
        </is>
      </c>
      <c r="H4" s="4" t="inlineStr"/>
      <c r="I4" s="4" t="inlineStr"/>
    </row>
    <row r="5" ht="18" customHeight="1">
      <c r="A5" s="17" t="inlineStr">
        <is>
          <t>action_skip</t>
        </is>
      </c>
      <c r="B5" s="4" t="inlineStr">
        <is>
          <t>core:ui · strings.xml</t>
        </is>
      </c>
      <c r="C5" s="4" t="inlineStr">
        <is>
          <t>Skip</t>
        </is>
      </c>
      <c r="D5" s="63" t="inlineStr"/>
      <c r="E5" s="4" t="inlineStr">
        <is>
          <t>Onboarding</t>
        </is>
      </c>
      <c r="F5" s="4" t="inlineStr">
        <is>
          <t>Short</t>
        </is>
      </c>
      <c r="G5" s="4" t="inlineStr">
        <is>
          <t>Missing</t>
        </is>
      </c>
      <c r="H5" s="4" t="inlineStr"/>
      <c r="I5" s="4" t="inlineStr"/>
    </row>
    <row r="6" ht="18" customHeight="1">
      <c r="A6" s="17" t="inlineStr">
        <is>
          <t>action_back</t>
        </is>
      </c>
      <c r="B6" s="4" t="inlineStr">
        <is>
          <t>core:ui · strings.xml</t>
        </is>
      </c>
      <c r="C6" s="4" t="inlineStr">
        <is>
          <t>Go back</t>
        </is>
      </c>
      <c r="D6" s="63" t="inlineStr"/>
      <c r="E6" s="4" t="inlineStr">
        <is>
          <t>Back button content description</t>
        </is>
      </c>
      <c r="F6" s="4" t="inlineStr">
        <is>
          <t>A11y</t>
        </is>
      </c>
      <c r="G6" s="4" t="inlineStr">
        <is>
          <t>Missing</t>
        </is>
      </c>
      <c r="H6" s="4" t="inlineStr"/>
      <c r="I6" s="4" t="inlineStr"/>
    </row>
    <row r="7" ht="18" customHeight="1">
      <c r="A7" s="17" t="inlineStr">
        <is>
          <t>action_see_all</t>
        </is>
      </c>
      <c r="B7" s="4" t="inlineStr">
        <is>
          <t>core:ui · strings.xml</t>
        </is>
      </c>
      <c r="C7" s="4" t="inlineStr">
        <is>
          <t>See all</t>
        </is>
      </c>
      <c r="D7" s="63" t="inlineStr"/>
      <c r="E7" s="4" t="inlineStr">
        <is>
          <t>Section headers</t>
        </is>
      </c>
      <c r="F7" s="4" t="inlineStr">
        <is>
          <t>Short link</t>
        </is>
      </c>
      <c r="G7" s="4" t="inlineStr">
        <is>
          <t>Missing</t>
        </is>
      </c>
      <c r="H7" s="4" t="inlineStr"/>
      <c r="I7" s="4" t="inlineStr"/>
    </row>
    <row r="8" ht="18" customHeight="1">
      <c r="A8" s="17" t="inlineStr">
        <is>
          <t>action_view_all</t>
        </is>
      </c>
      <c r="B8" s="4" t="inlineStr">
        <is>
          <t>core:ui · strings.xml</t>
        </is>
      </c>
      <c r="C8" s="4" t="inlineStr">
        <is>
          <t>View all</t>
        </is>
      </c>
      <c r="D8" s="63" t="inlineStr"/>
      <c r="E8" s="4" t="inlineStr">
        <is>
          <t>Discover</t>
        </is>
      </c>
      <c r="F8" s="4" t="inlineStr">
        <is>
          <t>Short link</t>
        </is>
      </c>
      <c r="G8" s="4" t="inlineStr">
        <is>
          <t>Missing</t>
        </is>
      </c>
      <c r="H8" s="4" t="inlineStr"/>
      <c r="I8" s="4" t="inlineStr"/>
    </row>
    <row r="9" ht="18" customHeight="1">
      <c r="A9" s="17" t="inlineStr">
        <is>
          <t>action_cancel</t>
        </is>
      </c>
      <c r="B9" s="4" t="inlineStr">
        <is>
          <t>core:ui · strings.xml</t>
        </is>
      </c>
      <c r="C9" s="4" t="inlineStr">
        <is>
          <t>Cancel</t>
        </is>
      </c>
      <c r="D9" s="63" t="inlineStr"/>
      <c r="E9" s="4" t="inlineStr">
        <is>
          <t>Sheets</t>
        </is>
      </c>
      <c r="F9" s="4" t="inlineStr">
        <is>
          <t>Button</t>
        </is>
      </c>
      <c r="G9" s="4" t="inlineStr">
        <is>
          <t>Missing</t>
        </is>
      </c>
      <c r="H9" s="4" t="inlineStr"/>
      <c r="I9" s="4" t="inlineStr"/>
    </row>
    <row r="10" ht="18" customHeight="1">
      <c r="A10" s="17" t="inlineStr">
        <is>
          <t>action_done</t>
        </is>
      </c>
      <c r="B10" s="4" t="inlineStr">
        <is>
          <t>core:ui · strings.xml</t>
        </is>
      </c>
      <c r="C10" s="4" t="inlineStr">
        <is>
          <t>Done</t>
        </is>
      </c>
      <c r="D10" s="63" t="inlineStr"/>
      <c r="E10" s="4" t="inlineStr">
        <is>
          <t>Dialog</t>
        </is>
      </c>
      <c r="F10" s="4" t="inlineStr">
        <is>
          <t>Button</t>
        </is>
      </c>
      <c r="G10" s="4" t="inlineStr">
        <is>
          <t>Missing</t>
        </is>
      </c>
      <c r="H10" s="4" t="inlineStr"/>
      <c r="I10" s="4" t="inlineStr"/>
    </row>
    <row r="11" ht="18" customHeight="1">
      <c r="A11" s="17" t="inlineStr">
        <is>
          <t>action_try_again</t>
        </is>
      </c>
      <c r="B11" s="4" t="inlineStr">
        <is>
          <t>core:ui · strings.xml</t>
        </is>
      </c>
      <c r="C11" s="4" t="inlineStr">
        <is>
          <t>Try again</t>
        </is>
      </c>
      <c r="D11" s="63" t="inlineStr"/>
      <c r="E11" s="4" t="inlineStr">
        <is>
          <t>Generating paused</t>
        </is>
      </c>
      <c r="F11" s="4" t="inlineStr">
        <is>
          <t>Button</t>
        </is>
      </c>
      <c r="G11" s="4" t="inlineStr">
        <is>
          <t>Missing</t>
        </is>
      </c>
      <c r="H11" s="4" t="inlineStr"/>
      <c r="I11" s="4" t="inlineStr"/>
    </row>
    <row r="12" ht="18" customHeight="1">
      <c r="A12" s="17" t="inlineStr">
        <is>
          <t>action_download</t>
        </is>
      </c>
      <c r="B12" s="4" t="inlineStr">
        <is>
          <t>core:ui · strings.xml</t>
        </is>
      </c>
      <c r="C12" s="4" t="inlineStr">
        <is>
          <t>Download</t>
        </is>
      </c>
      <c r="D12" s="63" t="inlineStr"/>
      <c r="E12" s="4" t="inlineStr">
        <is>
          <t>Detail, Player</t>
        </is>
      </c>
      <c r="F12" s="4" t="inlineStr">
        <is>
          <t>Short</t>
        </is>
      </c>
      <c r="G12" s="4" t="inlineStr">
        <is>
          <t>Missing</t>
        </is>
      </c>
      <c r="H12" s="4" t="inlineStr"/>
      <c r="I12" s="4" t="inlineStr"/>
    </row>
    <row r="13" ht="18" customHeight="1">
      <c r="A13" s="17" t="inlineStr">
        <is>
          <t>state_downloaded</t>
        </is>
      </c>
      <c r="B13" s="4" t="inlineStr">
        <is>
          <t>core:ui · strings.xml</t>
        </is>
      </c>
      <c r="C13" s="4" t="inlineStr">
        <is>
          <t>Downloaded</t>
        </is>
      </c>
      <c r="D13" s="63" t="inlineStr"/>
      <c r="E13" s="4" t="inlineStr">
        <is>
          <t>Player</t>
        </is>
      </c>
      <c r="F13" s="4" t="inlineStr">
        <is>
          <t>Short</t>
        </is>
      </c>
      <c r="G13" s="4" t="inlineStr">
        <is>
          <t>Missing</t>
        </is>
      </c>
      <c r="H13" s="4" t="inlineStr"/>
      <c r="I13" s="4" t="inlineStr"/>
    </row>
    <row r="14" ht="18" customHeight="1">
      <c r="A14" s="17" t="inlineStr">
        <is>
          <t>action_favourite</t>
        </is>
      </c>
      <c r="B14" s="4" t="inlineStr">
        <is>
          <t>core:ui · strings.xml</t>
        </is>
      </c>
      <c r="C14" s="4" t="inlineStr">
        <is>
          <t>Favourite</t>
        </is>
      </c>
      <c r="D14" s="63" t="inlineStr"/>
      <c r="E14" s="4" t="inlineStr">
        <is>
          <t>Player</t>
        </is>
      </c>
      <c r="F14" s="4" t="inlineStr">
        <is>
          <t>Short</t>
        </is>
      </c>
      <c r="G14" s="4" t="inlineStr">
        <is>
          <t>Missing</t>
        </is>
      </c>
      <c r="H14" s="4" t="inlineStr"/>
      <c r="I14" s="4" t="inlineStr"/>
    </row>
    <row r="15" ht="18" customHeight="1">
      <c r="A15" s="17" t="inlineStr">
        <is>
          <t>state_loved</t>
        </is>
      </c>
      <c r="B15" s="4" t="inlineStr">
        <is>
          <t>core:ui · strings.xml</t>
        </is>
      </c>
      <c r="C15" s="4" t="inlineStr">
        <is>
          <t>Loved</t>
        </is>
      </c>
      <c r="D15" s="63" t="inlineStr"/>
      <c r="E15" s="4" t="inlineStr">
        <is>
          <t>Player</t>
        </is>
      </c>
      <c r="F15" s="4" t="inlineStr">
        <is>
          <t>Short</t>
        </is>
      </c>
      <c r="G15" s="4" t="inlineStr">
        <is>
          <t>Missing</t>
        </is>
      </c>
      <c r="H15" s="4" t="inlineStr"/>
      <c r="I15" s="4" t="inlineStr"/>
    </row>
    <row r="16" ht="18" customHeight="1">
      <c r="A16" s="17" t="inlineStr">
        <is>
          <t>cd_favourite_add</t>
        </is>
      </c>
      <c r="B16" s="4" t="inlineStr">
        <is>
          <t>core:ui · strings.xml</t>
        </is>
      </c>
      <c r="C16" s="4" t="inlineStr">
        <is>
          <t>Add to favourites</t>
        </is>
      </c>
      <c r="D16" s="63" t="inlineStr"/>
      <c r="E16" s="4" t="inlineStr">
        <is>
          <t>Heart button</t>
        </is>
      </c>
      <c r="F16" s="4" t="inlineStr">
        <is>
          <t>A11y</t>
        </is>
      </c>
      <c r="G16" s="4" t="inlineStr">
        <is>
          <t>Missing</t>
        </is>
      </c>
      <c r="H16" s="4" t="inlineStr"/>
      <c r="I16" s="4" t="inlineStr"/>
    </row>
    <row r="17" ht="18" customHeight="1">
      <c r="A17" s="17" t="inlineStr">
        <is>
          <t>cd_favourite_remove</t>
        </is>
      </c>
      <c r="B17" s="4" t="inlineStr">
        <is>
          <t>core:ui · strings.xml</t>
        </is>
      </c>
      <c r="C17" s="4" t="inlineStr">
        <is>
          <t>Remove from favourites</t>
        </is>
      </c>
      <c r="D17" s="63" t="inlineStr"/>
      <c r="E17" s="4" t="inlineStr">
        <is>
          <t>Heart button</t>
        </is>
      </c>
      <c r="F17" s="4" t="inlineStr">
        <is>
          <t>A11y</t>
        </is>
      </c>
      <c r="G17" s="4" t="inlineStr">
        <is>
          <t>Missing</t>
        </is>
      </c>
      <c r="H17" s="4" t="inlineStr"/>
      <c r="I17" s="4" t="inlineStr"/>
    </row>
    <row r="18" ht="18" customHeight="1">
      <c r="A18" s="17" t="inlineStr">
        <is>
          <t>cd_open_story</t>
        </is>
      </c>
      <c r="B18" s="4" t="inlineStr">
        <is>
          <t>core:ui · strings.xml</t>
        </is>
      </c>
      <c r="C18" s="4" t="inlineStr">
        <is>
          <t>Open %1$s</t>
        </is>
      </c>
      <c r="D18" s="63" t="inlineStr"/>
      <c r="E18" s="4" t="inlineStr">
        <is>
          <t>Story card</t>
        </is>
      </c>
      <c r="F18" s="4" t="inlineStr">
        <is>
          <t>A11y; %1$s = title</t>
        </is>
      </c>
      <c r="G18" s="4" t="inlineStr">
        <is>
          <t>Missing</t>
        </is>
      </c>
      <c r="H18" s="4" t="inlineStr"/>
      <c r="I18" s="4" t="inlineStr"/>
    </row>
    <row r="19" ht="18" customHeight="1">
      <c r="A19" s="17" t="inlineStr">
        <is>
          <t>cd_notifications</t>
        </is>
      </c>
      <c r="B19" s="4" t="inlineStr">
        <is>
          <t>core:ui · strings.xml</t>
        </is>
      </c>
      <c r="C19" s="4" t="inlineStr">
        <is>
          <t>Notifications</t>
        </is>
      </c>
      <c r="D19" s="63" t="inlineStr"/>
      <c r="E19" s="4" t="inlineStr">
        <is>
          <t>Bell</t>
        </is>
      </c>
      <c r="F19" s="4" t="inlineStr">
        <is>
          <t>A11y</t>
        </is>
      </c>
      <c r="G19" s="4" t="inlineStr">
        <is>
          <t>Missing</t>
        </is>
      </c>
      <c r="H19" s="4" t="inlineStr"/>
      <c r="I19" s="4" t="inlineStr"/>
    </row>
    <row r="20" ht="18" customHeight="1">
      <c r="A20" s="17" t="inlineStr">
        <is>
          <t>cd_profile_of</t>
        </is>
      </c>
      <c r="B20" s="4" t="inlineStr">
        <is>
          <t>core:ui · strings.xml</t>
        </is>
      </c>
      <c r="C20" s="4" t="inlineStr">
        <is>
          <t>%1$s’s profile</t>
        </is>
      </c>
      <c r="D20" s="63" t="inlineStr"/>
      <c r="E20" s="4" t="inlineStr">
        <is>
          <t>Avatar</t>
        </is>
      </c>
      <c r="F20" s="4" t="inlineStr">
        <is>
          <t>A11y</t>
        </is>
      </c>
      <c r="G20" s="4" t="inlineStr">
        <is>
          <t>Missing</t>
        </is>
      </c>
      <c r="H20" s="4" t="inlineStr"/>
      <c r="I20" s="4" t="inlineStr"/>
    </row>
    <row r="21" ht="18" customHeight="1">
      <c r="A21" s="17" t="inlineStr">
        <is>
          <t>label_available_offline</t>
        </is>
      </c>
      <c r="B21" s="4" t="inlineStr">
        <is>
          <t>core:ui · strings.xml</t>
        </is>
      </c>
      <c r="C21" s="4" t="inlineStr">
        <is>
          <t>Available offline</t>
        </is>
      </c>
      <c r="D21" s="63" t="inlineStr"/>
      <c r="E21" s="4" t="inlineStr">
        <is>
          <t>Rows</t>
        </is>
      </c>
      <c r="F21" s="4" t="inlineStr">
        <is>
          <t>Short</t>
        </is>
      </c>
      <c r="G21" s="4" t="inlineStr">
        <is>
          <t>Missing</t>
        </is>
      </c>
      <c r="H21" s="4" t="inlineStr"/>
      <c r="I21" s="4" t="inlineStr"/>
    </row>
    <row r="22" ht="18" customHeight="1">
      <c r="A22" s="17" t="inlineStr">
        <is>
          <t>label_available</t>
        </is>
      </c>
      <c r="B22" s="4" t="inlineStr">
        <is>
          <t>core:ui · strings.xml</t>
        </is>
      </c>
      <c r="C22" s="4" t="inlineStr">
        <is>
          <t>Available</t>
        </is>
      </c>
      <c r="D22" s="63" t="inlineStr"/>
      <c r="E22" s="4" t="inlineStr">
        <is>
          <t>Narration row</t>
        </is>
      </c>
      <c r="F22" s="4" t="inlineStr">
        <is>
          <t>Short</t>
        </is>
      </c>
      <c r="G22" s="4" t="inlineStr">
        <is>
          <t>Missing</t>
        </is>
      </c>
      <c r="H22" s="4" t="inlineStr"/>
      <c r="I22" s="4" t="inlineStr"/>
    </row>
    <row r="23" ht="18" customHeight="1">
      <c r="A23" s="17" t="inlineStr">
        <is>
          <t>meta_minutes</t>
        </is>
      </c>
      <c r="B23" s="4" t="inlineStr">
        <is>
          <t>core:ui · strings.xml</t>
        </is>
      </c>
      <c r="C23" s="4" t="inlineStr">
        <is>
          <t>%1$d min</t>
        </is>
      </c>
      <c r="D23" s="63" t="inlineStr"/>
      <c r="E23" s="4" t="inlineStr">
        <is>
          <t>Story meta</t>
        </is>
      </c>
      <c r="F23" s="4" t="inlineStr">
        <is>
          <t>Plural</t>
        </is>
      </c>
      <c r="G23" s="4" t="inlineStr">
        <is>
          <t>Missing</t>
        </is>
      </c>
      <c r="H23" s="4" t="inlineStr"/>
      <c r="I23" s="4" t="inlineStr"/>
    </row>
    <row r="24" ht="18" customHeight="1">
      <c r="A24" s="17" t="inlineStr">
        <is>
          <t>meta_category_minutes</t>
        </is>
      </c>
      <c r="B24" s="4" t="inlineStr">
        <is>
          <t>core:ui · strings.xml</t>
        </is>
      </c>
      <c r="C24" s="4" t="inlineStr">
        <is>
          <t>%1$s · %2$d min</t>
        </is>
      </c>
      <c r="D24" s="63" t="inlineStr"/>
      <c r="E24" s="4" t="inlineStr">
        <is>
          <t>Story card</t>
        </is>
      </c>
      <c r="F24" s="4" t="inlineStr">
        <is>
          <t>Format</t>
        </is>
      </c>
      <c r="G24" s="4" t="inlineStr">
        <is>
          <t>Missing</t>
        </is>
      </c>
      <c r="H24" s="4" t="inlineStr"/>
      <c r="I24" s="4" t="inlineStr"/>
    </row>
    <row r="25" ht="18" customHeight="1">
      <c r="A25" s="17" t="inlineStr">
        <is>
          <t>meta_ages</t>
        </is>
      </c>
      <c r="B25" s="4" t="inlineStr">
        <is>
          <t>core:ui · strings.xml</t>
        </is>
      </c>
      <c r="C25" s="4" t="inlineStr">
        <is>
          <t>Ages %1$s</t>
        </is>
      </c>
      <c r="D25" s="63" t="inlineStr"/>
      <c r="E25" s="4" t="inlineStr">
        <is>
          <t>Detail, Category</t>
        </is>
      </c>
      <c r="F25" s="4" t="inlineStr">
        <is>
          <t>Format</t>
        </is>
      </c>
      <c r="G25" s="4" t="inlineStr">
        <is>
          <t>Missing</t>
        </is>
      </c>
      <c r="H25" s="4" t="inlineStr"/>
      <c r="I25" s="4" t="inlineStr"/>
    </row>
    <row r="26" ht="18" customHeight="1">
      <c r="A26" s="17" t="inlineStr">
        <is>
          <t>nav_home</t>
        </is>
      </c>
      <c r="B26" s="4" t="inlineStr">
        <is>
          <t>core:ui · strings.xml</t>
        </is>
      </c>
      <c r="C26" s="4" t="inlineStr">
        <is>
          <t>Home</t>
        </is>
      </c>
      <c r="D26" s="63" t="inlineStr"/>
      <c r="E26" s="4" t="inlineStr">
        <is>
          <t>Bottom nav</t>
        </is>
      </c>
      <c r="F26" s="4" t="inlineStr">
        <is>
          <t>≤1 line at 10sp</t>
        </is>
      </c>
      <c r="G26" s="4" t="inlineStr">
        <is>
          <t>Missing</t>
        </is>
      </c>
      <c r="H26" s="4" t="inlineStr"/>
      <c r="I26" s="4" t="inlineStr"/>
    </row>
    <row r="27" ht="18" customHeight="1">
      <c r="A27" s="17" t="inlineStr">
        <is>
          <t>nav_discover</t>
        </is>
      </c>
      <c r="B27" s="4" t="inlineStr">
        <is>
          <t>core:ui · strings.xml</t>
        </is>
      </c>
      <c r="C27" s="4" t="inlineStr">
        <is>
          <t>Discover</t>
        </is>
      </c>
      <c r="D27" s="63" t="inlineStr"/>
      <c r="E27" s="4" t="inlineStr">
        <is>
          <t>Bottom nav</t>
        </is>
      </c>
      <c r="F27" s="4" t="inlineStr">
        <is>
          <t>≤1 line at 10sp</t>
        </is>
      </c>
      <c r="G27" s="4" t="inlineStr">
        <is>
          <t>Missing</t>
        </is>
      </c>
      <c r="H27" s="4" t="inlineStr"/>
      <c r="I27" s="4" t="inlineStr"/>
    </row>
    <row r="28" ht="18" customHeight="1">
      <c r="A28" s="17" t="inlineStr">
        <is>
          <t>nav_create</t>
        </is>
      </c>
      <c r="B28" s="4" t="inlineStr">
        <is>
          <t>core:ui · strings.xml</t>
        </is>
      </c>
      <c r="C28" s="4" t="inlineStr">
        <is>
          <t>Create</t>
        </is>
      </c>
      <c r="D28" s="63" t="inlineStr"/>
      <c r="E28" s="4" t="inlineStr">
        <is>
          <t>Bottom nav</t>
        </is>
      </c>
      <c r="F28" s="4" t="inlineStr">
        <is>
          <t>≤1 line at 10sp</t>
        </is>
      </c>
      <c r="G28" s="4" t="inlineStr">
        <is>
          <t>Missing</t>
        </is>
      </c>
      <c r="H28" s="4" t="inlineStr"/>
      <c r="I28" s="4" t="inlineStr"/>
    </row>
    <row r="29" ht="18" customHeight="1">
      <c r="A29" s="17" t="inlineStr">
        <is>
          <t>nav_my_stories</t>
        </is>
      </c>
      <c r="B29" s="4" t="inlineStr">
        <is>
          <t>core:ui · strings.xml</t>
        </is>
      </c>
      <c r="C29" s="4" t="inlineStr">
        <is>
          <t>My Stories</t>
        </is>
      </c>
      <c r="D29" s="63" t="inlineStr"/>
      <c r="E29" s="4" t="inlineStr">
        <is>
          <t>Bottom nav</t>
        </is>
      </c>
      <c r="F29" s="4" t="inlineStr">
        <is>
          <t>≤1 line at 10sp</t>
        </is>
      </c>
      <c r="G29" s="4" t="inlineStr">
        <is>
          <t>Missing</t>
        </is>
      </c>
      <c r="H29" s="4" t="inlineStr"/>
      <c r="I29" s="4" t="inlineStr"/>
    </row>
    <row r="30" ht="18" customHeight="1">
      <c r="A30" s="17" t="inlineStr">
        <is>
          <t>nav_profile</t>
        </is>
      </c>
      <c r="B30" s="4" t="inlineStr">
        <is>
          <t>core:ui · strings.xml</t>
        </is>
      </c>
      <c r="C30" s="4" t="inlineStr">
        <is>
          <t>Profile</t>
        </is>
      </c>
      <c r="D30" s="63" t="inlineStr"/>
      <c r="E30" s="4" t="inlineStr">
        <is>
          <t>Bottom nav</t>
        </is>
      </c>
      <c r="F30" s="4" t="inlineStr">
        <is>
          <t>≤1 line at 10sp</t>
        </is>
      </c>
      <c r="G30" s="4" t="inlineStr">
        <is>
          <t>Missing</t>
        </is>
      </c>
      <c r="H30" s="4" t="inlineStr"/>
      <c r="I30" s="4" t="inlineStr"/>
    </row>
    <row r="31" ht="31" customHeight="1">
      <c r="A31" s="17" t="inlineStr">
        <is>
          <t>onboarding_1_title</t>
        </is>
      </c>
      <c r="B31" s="4" t="inlineStr">
        <is>
          <t>feature:onboarding · strings.xml</t>
        </is>
      </c>
      <c r="C31" s="4" t="inlineStr">
        <is>
          <t>Every Day Has a Story</t>
        </is>
      </c>
      <c r="D31" s="63" t="inlineStr"/>
      <c r="E31" s="4" t="inlineStr">
        <is>
          <t>SCR-01 slide 1</t>
        </is>
      </c>
      <c r="F31" s="4" t="inlineStr">
        <is>
          <t>Title ≤2 lines</t>
        </is>
      </c>
      <c r="G31" s="4" t="inlineStr">
        <is>
          <t>Missing</t>
        </is>
      </c>
      <c r="H31" s="4" t="inlineStr"/>
      <c r="I31" s="4" t="inlineStr"/>
    </row>
    <row r="32" ht="31" customHeight="1">
      <c r="A32" s="17" t="inlineStr">
        <is>
          <t>onboarding_1_body</t>
        </is>
      </c>
      <c r="B32" s="4" t="inlineStr">
        <is>
          <t>feature:onboarding · strings.xml</t>
        </is>
      </c>
      <c r="C32" s="4" t="inlineStr">
        <is>
          <t>Turn school days, family moments and tiny acts of kindness into magical adventures.</t>
        </is>
      </c>
      <c r="D32" s="63" t="inlineStr"/>
      <c r="E32" s="4" t="inlineStr">
        <is>
          <t>SCR-01</t>
        </is>
      </c>
      <c r="F32" s="4" t="inlineStr">
        <is>
          <t>Body</t>
        </is>
      </c>
      <c r="G32" s="4" t="inlineStr">
        <is>
          <t>Missing</t>
        </is>
      </c>
      <c r="H32" s="4" t="inlineStr"/>
      <c r="I32" s="4" t="inlineStr"/>
    </row>
    <row r="33" ht="31" customHeight="1">
      <c r="A33" s="17" t="inlineStr">
        <is>
          <t>onboarding_2_title</t>
        </is>
      </c>
      <c r="B33" s="4" t="inlineStr">
        <is>
          <t>feature:onboarding · strings.xml</t>
        </is>
      </c>
      <c r="C33" s="4" t="inlineStr">
        <is>
          <t>Your Child, the Hero</t>
        </is>
      </c>
      <c r="D33" s="63" t="inlineStr"/>
      <c r="E33" s="4" t="inlineStr">
        <is>
          <t>SCR-01 slide 2</t>
        </is>
      </c>
      <c r="F33" s="4" t="inlineStr">
        <is>
          <t>Title ≤2 lines</t>
        </is>
      </c>
      <c r="G33" s="4" t="inlineStr">
        <is>
          <t>Missing</t>
        </is>
      </c>
      <c r="H33" s="4" t="inlineStr"/>
      <c r="I33" s="4" t="inlineStr"/>
    </row>
    <row r="34" ht="31" customHeight="1">
      <c r="A34" s="17" t="inlineStr">
        <is>
          <t>onboarding_2_body</t>
        </is>
      </c>
      <c r="B34" s="4" t="inlineStr">
        <is>
          <t>feature:onboarding · strings.xml</t>
        </is>
      </c>
      <c r="C34" s="4" t="inlineStr">
        <is>
          <t>Stories shaped around their name, age and favourite things—with parents always in control.</t>
        </is>
      </c>
      <c r="D34" s="63" t="inlineStr"/>
      <c r="E34" s="4" t="inlineStr">
        <is>
          <t>SCR-01</t>
        </is>
      </c>
      <c r="F34" s="4" t="inlineStr">
        <is>
          <t>Body</t>
        </is>
      </c>
      <c r="G34" s="4" t="inlineStr">
        <is>
          <t>Missing</t>
        </is>
      </c>
      <c r="H34" s="4" t="inlineStr"/>
      <c r="I34" s="4" t="inlineStr"/>
    </row>
    <row r="35" ht="31" customHeight="1">
      <c r="A35" s="17" t="inlineStr">
        <is>
          <t>onboarding_3_title</t>
        </is>
      </c>
      <c r="B35" s="4" t="inlineStr">
        <is>
          <t>feature:onboarding · strings.xml</t>
        </is>
      </c>
      <c r="C35" s="4" t="inlineStr">
        <is>
          <t>Listen, Dream, Repeat</t>
        </is>
      </c>
      <c r="D35" s="63" t="inlineStr"/>
      <c r="E35" s="4" t="inlineStr">
        <is>
          <t>SCR-01 slide 3</t>
        </is>
      </c>
      <c r="F35" s="4" t="inlineStr">
        <is>
          <t>Title ≤2 lines</t>
        </is>
      </c>
      <c r="G35" s="4" t="inlineStr">
        <is>
          <t>Missing</t>
        </is>
      </c>
      <c r="H35" s="4" t="inlineStr"/>
      <c r="I35" s="4" t="inlineStr"/>
    </row>
    <row r="36" ht="31" customHeight="1">
      <c r="A36" s="17" t="inlineStr">
        <is>
          <t>onboarding_3_body</t>
        </is>
      </c>
      <c r="B36" s="4" t="inlineStr">
        <is>
          <t>feature:onboarding · strings.xml</t>
        </is>
      </c>
      <c r="C36" s="4" t="inlineStr">
        <is>
          <t>Gentle narration, offline stories and a sleep timer make bedtime feel wonderfully calm.</t>
        </is>
      </c>
      <c r="D36" s="63" t="inlineStr"/>
      <c r="E36" s="4" t="inlineStr">
        <is>
          <t>SCR-01</t>
        </is>
      </c>
      <c r="F36" s="4" t="inlineStr">
        <is>
          <t>Body</t>
        </is>
      </c>
      <c r="G36" s="4" t="inlineStr">
        <is>
          <t>Missing</t>
        </is>
      </c>
      <c r="H36" s="4" t="inlineStr"/>
      <c r="I36" s="4" t="inlineStr"/>
    </row>
    <row r="37" ht="31" customHeight="1">
      <c r="A37" s="17" t="inlineStr">
        <is>
          <t>onboarding_get_started</t>
        </is>
      </c>
      <c r="B37" s="4" t="inlineStr">
        <is>
          <t>feature:onboarding · strings.xml</t>
        </is>
      </c>
      <c r="C37" s="4" t="inlineStr">
        <is>
          <t>Get Started</t>
        </is>
      </c>
      <c r="D37" s="63" t="inlineStr"/>
      <c r="E37" s="4" t="inlineStr">
        <is>
          <t>SCR-01</t>
        </is>
      </c>
      <c r="F37" s="4" t="inlineStr">
        <is>
          <t>Button</t>
        </is>
      </c>
      <c r="G37" s="4" t="inlineStr">
        <is>
          <t>Missing</t>
        </is>
      </c>
      <c r="H37" s="4" t="inlineStr"/>
      <c r="I37" s="4" t="inlineStr"/>
    </row>
    <row r="38" ht="31" customHeight="1">
      <c r="A38" s="17" t="inlineStr">
        <is>
          <t>onboarding_pager_cd</t>
        </is>
      </c>
      <c r="B38" s="4" t="inlineStr">
        <is>
          <t>feature:onboarding · strings.xml</t>
        </is>
      </c>
      <c r="C38" s="4" t="inlineStr">
        <is>
          <t>Slide %1$d of %2$d</t>
        </is>
      </c>
      <c r="D38" s="63" t="inlineStr"/>
      <c r="E38" s="4" t="inlineStr">
        <is>
          <t>Pager</t>
        </is>
      </c>
      <c r="F38" s="4" t="inlineStr">
        <is>
          <t>A11y</t>
        </is>
      </c>
      <c r="G38" s="4" t="inlineStr">
        <is>
          <t>Missing</t>
        </is>
      </c>
      <c r="H38" s="4" t="inlineStr"/>
      <c r="I38" s="4" t="inlineStr"/>
    </row>
    <row r="39" ht="31" customHeight="1">
      <c r="A39" s="17" t="inlineStr">
        <is>
          <t>setup_skip_for_now</t>
        </is>
      </c>
      <c r="B39" s="4" t="inlineStr">
        <is>
          <t>feature:onboarding · strings.xml</t>
        </is>
      </c>
      <c r="C39" s="4" t="inlineStr">
        <is>
          <t>Skip for now</t>
        </is>
      </c>
      <c r="D39" s="63" t="inlineStr"/>
      <c r="E39" s="4" t="inlineStr">
        <is>
          <t>SCR-02 top bar</t>
        </is>
      </c>
      <c r="F39" s="4" t="inlineStr">
        <is>
          <t>Short</t>
        </is>
      </c>
      <c r="G39" s="4" t="inlineStr">
        <is>
          <t>Missing</t>
        </is>
      </c>
      <c r="H39" s="4" t="inlineStr"/>
      <c r="I39" s="4" t="inlineStr"/>
    </row>
    <row r="40" ht="31" customHeight="1">
      <c r="A40" s="17" t="inlineStr">
        <is>
          <t>setup_trust_badge</t>
        </is>
      </c>
      <c r="B40" s="4" t="inlineStr">
        <is>
          <t>feature:onboarding · strings.xml</t>
        </is>
      </c>
      <c r="C40" s="4" t="inlineStr">
        <is>
          <t>Private &amp; parent-managed</t>
        </is>
      </c>
      <c r="D40" s="63" t="inlineStr"/>
      <c r="E40" s="4" t="inlineStr">
        <is>
          <t>SCR-02 badge</t>
        </is>
      </c>
      <c r="F40" s="4" t="inlineStr">
        <is>
          <t>Single line</t>
        </is>
      </c>
      <c r="G40" s="4" t="inlineStr">
        <is>
          <t>Missing</t>
        </is>
      </c>
      <c r="H40" s="4" t="inlineStr"/>
      <c r="I40" s="4" t="inlineStr"/>
    </row>
    <row r="41" ht="31" customHeight="1">
      <c r="A41" s="17" t="inlineStr">
        <is>
          <t>setup_title</t>
        </is>
      </c>
      <c r="B41" s="4" t="inlineStr">
        <is>
          <t>feature:onboarding · strings.xml</t>
        </is>
      </c>
      <c r="C41" s="4" t="inlineStr">
        <is>
          <t>Let’s make stories feel like home.</t>
        </is>
      </c>
      <c r="D41" s="63" t="inlineStr"/>
      <c r="E41" s="4" t="inlineStr">
        <is>
          <t>SCR-02</t>
        </is>
      </c>
      <c r="F41" s="4" t="inlineStr">
        <is>
          <t>Title</t>
        </is>
      </c>
      <c r="G41" s="4" t="inlineStr">
        <is>
          <t>Missing</t>
        </is>
      </c>
      <c r="H41" s="4" t="inlineStr"/>
      <c r="I41" s="4" t="inlineStr"/>
    </row>
    <row r="42" ht="31" customHeight="1">
      <c r="A42" s="17" t="inlineStr">
        <is>
          <t>setup_subtitle</t>
        </is>
      </c>
      <c r="B42" s="4" t="inlineStr">
        <is>
          <t>feature:onboarding · strings.xml</t>
        </is>
      </c>
      <c r="C42" s="4" t="inlineStr">
        <is>
          <t>A few details help us choose safe, age-appropriate adventures.</t>
        </is>
      </c>
      <c r="D42" s="63" t="inlineStr"/>
      <c r="E42" s="4" t="inlineStr">
        <is>
          <t>SCR-02</t>
        </is>
      </c>
      <c r="F42" s="4" t="inlineStr">
        <is>
          <t>Body</t>
        </is>
      </c>
      <c r="G42" s="4" t="inlineStr">
        <is>
          <t>Missing</t>
        </is>
      </c>
      <c r="H42" s="4" t="inlineStr"/>
      <c r="I42" s="4" t="inlineStr"/>
    </row>
    <row r="43" ht="31" customHeight="1">
      <c r="A43" s="17" t="inlineStr">
        <is>
          <t>setup_parent_name</t>
        </is>
      </c>
      <c r="B43" s="4" t="inlineStr">
        <is>
          <t>feature:onboarding · strings.xml</t>
        </is>
      </c>
      <c r="C43" s="4" t="inlineStr">
        <is>
          <t>Parent name</t>
        </is>
      </c>
      <c r="D43" s="63" t="inlineStr"/>
      <c r="E43" s="4" t="inlineStr">
        <is>
          <t>Field label</t>
        </is>
      </c>
      <c r="F43" s="4" t="inlineStr">
        <is>
          <t>Label</t>
        </is>
      </c>
      <c r="G43" s="4" t="inlineStr">
        <is>
          <t>Missing</t>
        </is>
      </c>
      <c r="H43" s="4" t="inlineStr"/>
      <c r="I43" s="4" t="inlineStr"/>
    </row>
    <row r="44" ht="31" customHeight="1">
      <c r="A44" s="17" t="inlineStr">
        <is>
          <t>setup_child_name</t>
        </is>
      </c>
      <c r="B44" s="4" t="inlineStr">
        <is>
          <t>feature:onboarding · strings.xml</t>
        </is>
      </c>
      <c r="C44" s="4" t="inlineStr">
        <is>
          <t>Child’s name</t>
        </is>
      </c>
      <c r="D44" s="63" t="inlineStr"/>
      <c r="E44" s="4" t="inlineStr">
        <is>
          <t>Field label</t>
        </is>
      </c>
      <c r="F44" s="4" t="inlineStr">
        <is>
          <t>Label</t>
        </is>
      </c>
      <c r="G44" s="4" t="inlineStr">
        <is>
          <t>Missing</t>
        </is>
      </c>
      <c r="H44" s="4" t="inlineStr"/>
      <c r="I44" s="4" t="inlineStr"/>
    </row>
    <row r="45" ht="31" customHeight="1">
      <c r="A45" s="17" t="inlineStr">
        <is>
          <t>setup_choose_avatar</t>
        </is>
      </c>
      <c r="B45" s="4" t="inlineStr">
        <is>
          <t>feature:onboarding · strings.xml</t>
        </is>
      </c>
      <c r="C45" s="4" t="inlineStr">
        <is>
          <t>Choose an avatar</t>
        </is>
      </c>
      <c r="D45" s="63" t="inlineStr"/>
      <c r="E45" s="4" t="inlineStr">
        <is>
          <t>Field label</t>
        </is>
      </c>
      <c r="F45" s="4" t="inlineStr">
        <is>
          <t>Label</t>
        </is>
      </c>
      <c r="G45" s="4" t="inlineStr">
        <is>
          <t>Missing</t>
        </is>
      </c>
      <c r="H45" s="4" t="inlineStr"/>
      <c r="I45" s="4" t="inlineStr"/>
    </row>
    <row r="46" ht="31" customHeight="1">
      <c r="A46" s="17" t="inlineStr">
        <is>
          <t>setup_age</t>
        </is>
      </c>
      <c r="B46" s="4" t="inlineStr">
        <is>
          <t>feature:onboarding · strings.xml</t>
        </is>
      </c>
      <c r="C46" s="4" t="inlineStr">
        <is>
          <t>Age</t>
        </is>
      </c>
      <c r="D46" s="63" t="inlineStr"/>
      <c r="E46" s="4" t="inlineStr">
        <is>
          <t>Field label</t>
        </is>
      </c>
      <c r="F46" s="4" t="inlineStr">
        <is>
          <t>Label</t>
        </is>
      </c>
      <c r="G46" s="4" t="inlineStr">
        <is>
          <t>Missing</t>
        </is>
      </c>
      <c r="H46" s="4" t="inlineStr"/>
      <c r="I46" s="4" t="inlineStr"/>
    </row>
    <row r="47" ht="31" customHeight="1">
      <c r="A47" s="17" t="inlineStr">
        <is>
          <t>setup_language</t>
        </is>
      </c>
      <c r="B47" s="4" t="inlineStr">
        <is>
          <t>feature:onboarding · strings.xml</t>
        </is>
      </c>
      <c r="C47" s="4" t="inlineStr">
        <is>
          <t>Language</t>
        </is>
      </c>
      <c r="D47" s="63" t="inlineStr"/>
      <c r="E47" s="4" t="inlineStr">
        <is>
          <t>Field label</t>
        </is>
      </c>
      <c r="F47" s="4" t="inlineStr">
        <is>
          <t>Label</t>
        </is>
      </c>
      <c r="G47" s="4" t="inlineStr">
        <is>
          <t>Missing</t>
        </is>
      </c>
      <c r="H47" s="4" t="inlineStr"/>
      <c r="I47" s="4" t="inlineStr"/>
    </row>
    <row r="48" ht="31" customHeight="1">
      <c r="A48" s="17" t="inlineStr">
        <is>
          <t>setup_interests</t>
        </is>
      </c>
      <c r="B48" s="4" t="inlineStr">
        <is>
          <t>feature:onboarding · strings.xml</t>
        </is>
      </c>
      <c r="C48" s="4" t="inlineStr">
        <is>
          <t>Favourite interests</t>
        </is>
      </c>
      <c r="D48" s="63" t="inlineStr"/>
      <c r="E48" s="4" t="inlineStr">
        <is>
          <t>Field label</t>
        </is>
      </c>
      <c r="F48" s="4" t="inlineStr">
        <is>
          <t>Label</t>
        </is>
      </c>
      <c r="G48" s="4" t="inlineStr">
        <is>
          <t>Missing</t>
        </is>
      </c>
      <c r="H48" s="4" t="inlineStr"/>
      <c r="I48" s="4" t="inlineStr"/>
    </row>
    <row r="49" ht="18" customHeight="1">
      <c r="A49" s="17" t="inlineStr">
        <is>
          <t>label_optional</t>
        </is>
      </c>
      <c r="B49" s="4" t="inlineStr">
        <is>
          <t>core:ui · strings.xml</t>
        </is>
      </c>
      <c r="C49" s="4" t="inlineStr">
        <is>
          <t>Optional</t>
        </is>
      </c>
      <c r="D49" s="63" t="inlineStr"/>
      <c r="E49" s="4" t="inlineStr">
        <is>
          <t>Field hint</t>
        </is>
      </c>
      <c r="F49" s="4" t="inlineStr">
        <is>
          <t>Short</t>
        </is>
      </c>
      <c r="G49" s="4" t="inlineStr">
        <is>
          <t>Missing</t>
        </is>
      </c>
      <c r="H49" s="4" t="inlineStr"/>
      <c r="I49" s="4" t="inlineStr"/>
    </row>
    <row r="50" ht="31" customHeight="1">
      <c r="A50" s="17" t="inlineStr">
        <is>
          <t>setup_story_duration</t>
        </is>
      </c>
      <c r="B50" s="4" t="inlineStr">
        <is>
          <t>feature:onboarding · strings.xml</t>
        </is>
      </c>
      <c r="C50" s="4" t="inlineStr">
        <is>
          <t>Story duration</t>
        </is>
      </c>
      <c r="D50" s="63" t="inlineStr"/>
      <c r="E50" s="4" t="inlineStr">
        <is>
          <t>Field label</t>
        </is>
      </c>
      <c r="F50" s="4" t="inlineStr">
        <is>
          <t>Label</t>
        </is>
      </c>
      <c r="G50" s="4" t="inlineStr">
        <is>
          <t>Missing</t>
        </is>
      </c>
      <c r="H50" s="4" t="inlineStr"/>
      <c r="I50" s="4" t="inlineStr"/>
    </row>
    <row r="51" ht="18" customHeight="1">
      <c r="A51" s="17" t="inlineStr">
        <is>
          <t>duration_minutes_option</t>
        </is>
      </c>
      <c r="B51" s="4" t="inlineStr">
        <is>
          <t>core:ui · strings.xml</t>
        </is>
      </c>
      <c r="C51" s="4" t="inlineStr">
        <is>
          <t>%1$d min</t>
        </is>
      </c>
      <c r="D51" s="63" t="inlineStr"/>
      <c r="E51" s="4" t="inlineStr">
        <is>
          <t>Segmented/chips</t>
        </is>
      </c>
      <c r="F51" s="4" t="inlineStr">
        <is>
          <t>Plural</t>
        </is>
      </c>
      <c r="G51" s="4" t="inlineStr">
        <is>
          <t>Missing</t>
        </is>
      </c>
      <c r="H51" s="4" t="inlineStr"/>
      <c r="I51" s="4" t="inlineStr"/>
    </row>
    <row r="52" ht="31" customHeight="1">
      <c r="A52" s="17" t="inlineStr">
        <is>
          <t>setup_create_profile</t>
        </is>
      </c>
      <c r="B52" s="4" t="inlineStr">
        <is>
          <t>feature:onboarding · strings.xml</t>
        </is>
      </c>
      <c r="C52" s="4" t="inlineStr">
        <is>
          <t>Create %1$s’s profile</t>
        </is>
      </c>
      <c r="D52" s="63" t="inlineStr"/>
      <c r="E52" s="4" t="inlineStr">
        <is>
          <t>Sticky CTA</t>
        </is>
      </c>
      <c r="F52" s="4" t="inlineStr">
        <is>
          <t>Button; %1$s = child name</t>
        </is>
      </c>
      <c r="G52" s="4" t="inlineStr">
        <is>
          <t>Missing</t>
        </is>
      </c>
      <c r="H52" s="4" t="inlineStr"/>
      <c r="I52" s="4" t="inlineStr"/>
    </row>
    <row r="53" ht="18" customHeight="1">
      <c r="A53" s="17" t="inlineStr">
        <is>
          <t>interest_animals</t>
        </is>
      </c>
      <c r="B53" s="4" t="inlineStr">
        <is>
          <t>core:ui · strings.xml</t>
        </is>
      </c>
      <c r="C53" s="4" t="inlineStr">
        <is>
          <t>Animals</t>
        </is>
      </c>
      <c r="D53" s="63" t="inlineStr"/>
      <c r="E53" s="4" t="inlineStr">
        <is>
          <t>Interest/category chip</t>
        </is>
      </c>
      <c r="F53" s="4" t="inlineStr">
        <is>
          <t>Chip</t>
        </is>
      </c>
      <c r="G53" s="4" t="inlineStr">
        <is>
          <t>Missing</t>
        </is>
      </c>
      <c r="H53" s="4" t="inlineStr"/>
      <c r="I53" s="4" t="inlineStr"/>
    </row>
    <row r="54" ht="18" customHeight="1">
      <c r="A54" s="17" t="inlineStr">
        <is>
          <t>interest_cricket</t>
        </is>
      </c>
      <c r="B54" s="4" t="inlineStr">
        <is>
          <t>core:ui · strings.xml</t>
        </is>
      </c>
      <c r="C54" s="4" t="inlineStr">
        <is>
          <t>Cricket</t>
        </is>
      </c>
      <c r="D54" s="63" t="inlineStr"/>
      <c r="E54" s="4" t="inlineStr">
        <is>
          <t>Interest chip</t>
        </is>
      </c>
      <c r="F54" s="4" t="inlineStr">
        <is>
          <t>Chip</t>
        </is>
      </c>
      <c r="G54" s="4" t="inlineStr">
        <is>
          <t>Missing</t>
        </is>
      </c>
      <c r="H54" s="4" t="inlineStr"/>
      <c r="I54" s="4" t="inlineStr"/>
    </row>
    <row r="55" ht="18" customHeight="1">
      <c r="A55" s="17" t="inlineStr">
        <is>
          <t>interest_adventure</t>
        </is>
      </c>
      <c r="B55" s="4" t="inlineStr">
        <is>
          <t>core:ui · strings.xml</t>
        </is>
      </c>
      <c r="C55" s="4" t="inlineStr">
        <is>
          <t>Adventure</t>
        </is>
      </c>
      <c r="D55" s="63" t="inlineStr"/>
      <c r="E55" s="4" t="inlineStr">
        <is>
          <t>Interest/category chip</t>
        </is>
      </c>
      <c r="F55" s="4" t="inlineStr">
        <is>
          <t>Chip</t>
        </is>
      </c>
      <c r="G55" s="4" t="inlineStr">
        <is>
          <t>Missing</t>
        </is>
      </c>
      <c r="H55" s="4" t="inlineStr"/>
      <c r="I55" s="4" t="inlineStr"/>
    </row>
    <row r="56" ht="18" customHeight="1">
      <c r="A56" s="17" t="inlineStr">
        <is>
          <t>interest_space</t>
        </is>
      </c>
      <c r="B56" s="4" t="inlineStr">
        <is>
          <t>core:ui · strings.xml</t>
        </is>
      </c>
      <c r="C56" s="4" t="inlineStr">
        <is>
          <t>Space</t>
        </is>
      </c>
      <c r="D56" s="63" t="inlineStr"/>
      <c r="E56" s="4" t="inlineStr">
        <is>
          <t>Interest/category chip</t>
        </is>
      </c>
      <c r="F56" s="4" t="inlineStr">
        <is>
          <t>Chip</t>
        </is>
      </c>
      <c r="G56" s="4" t="inlineStr">
        <is>
          <t>Missing</t>
        </is>
      </c>
      <c r="H56" s="4" t="inlineStr"/>
      <c r="I56" s="4" t="inlineStr"/>
    </row>
    <row r="57" ht="18" customHeight="1">
      <c r="A57" s="17" t="inlineStr">
        <is>
          <t>interest_nature</t>
        </is>
      </c>
      <c r="B57" s="4" t="inlineStr">
        <is>
          <t>core:ui · strings.xml</t>
        </is>
      </c>
      <c r="C57" s="4" t="inlineStr">
        <is>
          <t>Nature</t>
        </is>
      </c>
      <c r="D57" s="63" t="inlineStr"/>
      <c r="E57" s="4" t="inlineStr">
        <is>
          <t>Interest/category chip</t>
        </is>
      </c>
      <c r="F57" s="4" t="inlineStr">
        <is>
          <t>Chip</t>
        </is>
      </c>
      <c r="G57" s="4" t="inlineStr">
        <is>
          <t>Missing</t>
        </is>
      </c>
      <c r="H57" s="4" t="inlineStr"/>
      <c r="I57" s="4" t="inlineStr"/>
    </row>
    <row r="58" ht="18" customHeight="1">
      <c r="A58" s="17" t="inlineStr">
        <is>
          <t>interest_music</t>
        </is>
      </c>
      <c r="B58" s="4" t="inlineStr">
        <is>
          <t>core:ui · strings.xml</t>
        </is>
      </c>
      <c r="C58" s="4" t="inlineStr">
        <is>
          <t>Music</t>
        </is>
      </c>
      <c r="D58" s="63" t="inlineStr"/>
      <c r="E58" s="4" t="inlineStr">
        <is>
          <t>Interest chip</t>
        </is>
      </c>
      <c r="F58" s="4" t="inlineStr">
        <is>
          <t>Chip</t>
        </is>
      </c>
      <c r="G58" s="4" t="inlineStr">
        <is>
          <t>Missing</t>
        </is>
      </c>
      <c r="H58" s="4" t="inlineStr"/>
      <c r="I58" s="4" t="inlineStr"/>
    </row>
    <row r="59" ht="31" customHeight="1">
      <c r="A59" s="17" t="inlineStr">
        <is>
          <t>home_greeting_evening</t>
        </is>
      </c>
      <c r="B59" s="4" t="inlineStr">
        <is>
          <t>feature:home · strings.xml</t>
        </is>
      </c>
      <c r="C59" s="4" t="inlineStr">
        <is>
          <t>Good evening</t>
        </is>
      </c>
      <c r="D59" s="63" t="inlineStr"/>
      <c r="E59" s="4" t="inlineStr">
        <is>
          <t>SCR-03 header</t>
        </is>
      </c>
      <c r="F59" s="4" t="inlineStr">
        <is>
          <t>Short (time-of-day variants TBD)</t>
        </is>
      </c>
      <c r="G59" s="4" t="inlineStr">
        <is>
          <t>Missing</t>
        </is>
      </c>
      <c r="H59" s="4" t="inlineStr"/>
      <c r="I59" s="4" t="inlineStr"/>
    </row>
    <row r="60" ht="31" customHeight="1">
      <c r="A60" s="17" t="inlineStr">
        <is>
          <t>home_title</t>
        </is>
      </c>
      <c r="B60" s="4" t="inlineStr">
        <is>
          <t>feature:home · strings.xml</t>
        </is>
      </c>
      <c r="C60" s="4" t="inlineStr">
        <is>
          <t>Stories for %1$s</t>
        </is>
      </c>
      <c r="D60" s="63" t="inlineStr"/>
      <c r="E60" s="4" t="inlineStr">
        <is>
          <t>SCR-03 header</t>
        </is>
      </c>
      <c r="F60" s="4" t="inlineStr">
        <is>
          <t>%1$s = child name</t>
        </is>
      </c>
      <c r="G60" s="4" t="inlineStr">
        <is>
          <t>Missing</t>
        </is>
      </c>
      <c r="H60" s="4" t="inlineStr"/>
      <c r="I60" s="4" t="inlineStr"/>
    </row>
    <row r="61" ht="31" customHeight="1">
      <c r="A61" s="17" t="inlineStr">
        <is>
          <t>home_hero_kicker</t>
        </is>
      </c>
      <c r="B61" s="4" t="inlineStr">
        <is>
          <t>feature:home · strings.xml</t>
        </is>
      </c>
      <c r="C61" s="4" t="inlineStr">
        <is>
          <t>Tonight’s adventure</t>
        </is>
      </c>
      <c r="D61" s="63" t="inlineStr"/>
      <c r="E61" s="4" t="inlineStr">
        <is>
          <t>Hero (uppercased by style)</t>
        </is>
      </c>
      <c r="F61" s="4" t="inlineStr">
        <is>
          <t>Single line</t>
        </is>
      </c>
      <c r="G61" s="4" t="inlineStr">
        <is>
          <t>Missing</t>
        </is>
      </c>
      <c r="H61" s="4" t="inlineStr"/>
      <c r="I61" s="4" t="inlineStr"/>
    </row>
    <row r="62" ht="31" customHeight="1">
      <c r="A62" s="17" t="inlineStr">
        <is>
          <t>home_hero_title</t>
        </is>
      </c>
      <c r="B62" s="4" t="inlineStr">
        <is>
          <t>feature:home · strings.xml</t>
        </is>
      </c>
      <c r="C62" s="4" t="inlineStr">
        <is>
          <t>Tonight, anything is possible.</t>
        </is>
      </c>
      <c r="D62" s="63" t="inlineStr"/>
      <c r="E62" s="4" t="inlineStr">
        <is>
          <t>Hero</t>
        </is>
      </c>
      <c r="F62" s="4" t="inlineStr">
        <is>
          <t>≤3 lines</t>
        </is>
      </c>
      <c r="G62" s="4" t="inlineStr">
        <is>
          <t>Missing</t>
        </is>
      </c>
      <c r="H62" s="4" t="inlineStr"/>
      <c r="I62" s="4" t="inlineStr"/>
    </row>
    <row r="63" ht="31" customHeight="1">
      <c r="A63" s="17" t="inlineStr">
        <is>
          <t>home_hero_body</t>
        </is>
      </c>
      <c r="B63" s="4" t="inlineStr">
        <is>
          <t>feature:home · strings.xml</t>
        </is>
      </c>
      <c r="C63" s="4" t="inlineStr">
        <is>
          <t>Turn today’s little moments into magical adventures.</t>
        </is>
      </c>
      <c r="D63" s="63" t="inlineStr"/>
      <c r="E63" s="4" t="inlineStr">
        <is>
          <t>Hero</t>
        </is>
      </c>
      <c r="F63" s="4" t="inlineStr">
        <is>
          <t>Body</t>
        </is>
      </c>
      <c r="G63" s="4" t="inlineStr">
        <is>
          <t>Missing</t>
        </is>
      </c>
      <c r="H63" s="4" t="inlineStr"/>
      <c r="I63" s="4" t="inlineStr"/>
    </row>
    <row r="64" ht="31" customHeight="1">
      <c r="A64" s="17" t="inlineStr">
        <is>
          <t>home_create_story</t>
        </is>
      </c>
      <c r="B64" s="4" t="inlineStr">
        <is>
          <t>feature:home · strings.xml</t>
        </is>
      </c>
      <c r="C64" s="4" t="inlineStr">
        <is>
          <t>Create a Story</t>
        </is>
      </c>
      <c r="D64" s="63" t="inlineStr"/>
      <c r="E64" s="4" t="inlineStr">
        <is>
          <t>Hero button</t>
        </is>
      </c>
      <c r="F64" s="4" t="inlineStr">
        <is>
          <t>Button</t>
        </is>
      </c>
      <c r="G64" s="4" t="inlineStr">
        <is>
          <t>Missing</t>
        </is>
      </c>
      <c r="H64" s="4" t="inlineStr"/>
      <c r="I64" s="4" t="inlineStr"/>
    </row>
    <row r="65" ht="31" customHeight="1">
      <c r="A65" s="17" t="inlineStr">
        <is>
          <t>home_continue_listening</t>
        </is>
      </c>
      <c r="B65" s="4" t="inlineStr">
        <is>
          <t>feature:home · strings.xml</t>
        </is>
      </c>
      <c r="C65" s="4" t="inlineStr">
        <is>
          <t>Continue listening</t>
        </is>
      </c>
      <c r="D65" s="63" t="inlineStr"/>
      <c r="E65" s="4" t="inlineStr">
        <is>
          <t>Section</t>
        </is>
      </c>
      <c r="F65" s="4" t="inlineStr">
        <is>
          <t>Heading</t>
        </is>
      </c>
      <c r="G65" s="4" t="inlineStr">
        <is>
          <t>Missing</t>
        </is>
      </c>
      <c r="H65" s="4" t="inlineStr"/>
      <c r="I65" s="4" t="inlineStr"/>
    </row>
    <row r="66" ht="31" customHeight="1">
      <c r="A66" s="17" t="inlineStr">
        <is>
          <t>home_progress_label</t>
        </is>
      </c>
      <c r="B66" s="4" t="inlineStr">
        <is>
          <t>feature:home · strings.xml</t>
        </is>
      </c>
      <c r="C66" s="4" t="inlineStr">
        <is>
          <t>%1$d min · %2$d%% complete</t>
        </is>
      </c>
      <c r="D66" s="63" t="inlineStr"/>
      <c r="E66" s="4" t="inlineStr">
        <is>
          <t>Continue card (uppercased)</t>
        </is>
      </c>
      <c r="F66" s="4" t="inlineStr">
        <is>
          <t>Format</t>
        </is>
      </c>
      <c r="G66" s="4" t="inlineStr">
        <is>
          <t>Missing</t>
        </is>
      </c>
      <c r="H66" s="4" t="inlineStr"/>
      <c r="I66" s="4" t="inlineStr"/>
    </row>
    <row r="67" ht="31" customHeight="1">
      <c r="A67" s="17" t="inlineStr">
        <is>
          <t>home_resume_story</t>
        </is>
      </c>
      <c r="B67" s="4" t="inlineStr">
        <is>
          <t>feature:home · strings.xml</t>
        </is>
      </c>
      <c r="C67" s="4" t="inlineStr">
        <is>
          <t>Resume story</t>
        </is>
      </c>
      <c r="D67" s="63" t="inlineStr"/>
      <c r="E67" s="4" t="inlineStr">
        <is>
          <t>Continue card</t>
        </is>
      </c>
      <c r="F67" s="4" t="inlineStr">
        <is>
          <t>Short</t>
        </is>
      </c>
      <c r="G67" s="4" t="inlineStr">
        <is>
          <t>Missing</t>
        </is>
      </c>
      <c r="H67" s="4" t="inlineStr"/>
      <c r="I67" s="4" t="inlineStr"/>
    </row>
    <row r="68" ht="31" customHeight="1">
      <c r="A68" s="17" t="inlineStr">
        <is>
          <t>home_explore_stories</t>
        </is>
      </c>
      <c r="B68" s="4" t="inlineStr">
        <is>
          <t>feature:home · strings.xml</t>
        </is>
      </c>
      <c r="C68" s="4" t="inlineStr">
        <is>
          <t>Explore stories</t>
        </is>
      </c>
      <c r="D68" s="63" t="inlineStr"/>
      <c r="E68" s="4" t="inlineStr">
        <is>
          <t>Section</t>
        </is>
      </c>
      <c r="F68" s="4" t="inlineStr">
        <is>
          <t>Heading</t>
        </is>
      </c>
      <c r="G68" s="4" t="inlineStr">
        <is>
          <t>Missing</t>
        </is>
      </c>
      <c r="H68" s="4" t="inlineStr"/>
      <c r="I68" s="4" t="inlineStr"/>
    </row>
    <row r="69" ht="31" customHeight="1">
      <c r="A69" s="17" t="inlineStr">
        <is>
          <t>home_made_for</t>
        </is>
      </c>
      <c r="B69" s="4" t="inlineStr">
        <is>
          <t>feature:home · strings.xml</t>
        </is>
      </c>
      <c r="C69" s="4" t="inlineStr">
        <is>
          <t>Made for %1$s</t>
        </is>
      </c>
      <c r="D69" s="63" t="inlineStr"/>
      <c r="E69" s="4" t="inlineStr">
        <is>
          <t>Section</t>
        </is>
      </c>
      <c r="F69" s="4" t="inlineStr">
        <is>
          <t>%1$s = child name</t>
        </is>
      </c>
      <c r="G69" s="4" t="inlineStr">
        <is>
          <t>Missing</t>
        </is>
      </c>
      <c r="H69" s="4" t="inlineStr"/>
      <c r="I69" s="4" t="inlineStr"/>
    </row>
    <row r="70" ht="31" customHeight="1">
      <c r="A70" s="17" t="inlineStr">
        <is>
          <t>home_culture_eyebrow</t>
        </is>
      </c>
      <c r="B70" s="4" t="inlineStr">
        <is>
          <t>feature:home · strings.xml</t>
        </is>
      </c>
      <c r="C70" s="4" t="inlineStr">
        <is>
          <t>Rooted in wonder</t>
        </is>
      </c>
      <c r="D70" s="63" t="inlineStr"/>
      <c r="E70" s="4" t="inlineStr">
        <is>
          <t>Banner (uppercased)</t>
        </is>
      </c>
      <c r="F70" s="4" t="inlineStr">
        <is>
          <t>Single line</t>
        </is>
      </c>
      <c r="G70" s="4" t="inlineStr">
        <is>
          <t>Missing</t>
        </is>
      </c>
      <c r="H70" s="4" t="inlineStr"/>
      <c r="I70" s="4" t="inlineStr"/>
    </row>
    <row r="71" ht="31" customHeight="1">
      <c r="A71" s="17" t="inlineStr">
        <is>
          <t>home_culture_title</t>
        </is>
      </c>
      <c r="B71" s="4" t="inlineStr">
        <is>
          <t>feature:home · strings.xml</t>
        </is>
      </c>
      <c r="C71" s="4" t="inlineStr">
        <is>
          <t>Stories from every corner of India</t>
        </is>
      </c>
      <c r="D71" s="63" t="inlineStr"/>
      <c r="E71" s="4" t="inlineStr">
        <is>
          <t>Banner</t>
        </is>
      </c>
      <c r="F71" s="4" t="inlineStr">
        <is>
          <t>≤2 lines</t>
        </is>
      </c>
      <c r="G71" s="4" t="inlineStr">
        <is>
          <t>Missing</t>
        </is>
      </c>
      <c r="H71" s="4" t="inlineStr"/>
      <c r="I71" s="4" t="inlineStr"/>
    </row>
    <row r="72" ht="31" customHeight="1">
      <c r="A72" s="17" t="inlineStr">
        <is>
          <t>home_culture_body</t>
        </is>
      </c>
      <c r="B72" s="4" t="inlineStr">
        <is>
          <t>feature:home · strings.xml</t>
        </is>
      </c>
      <c r="C72" s="4" t="inlineStr">
        <is>
          <t>Timeless wisdom, family traditions and joyful festivals.</t>
        </is>
      </c>
      <c r="D72" s="63" t="inlineStr"/>
      <c r="E72" s="4" t="inlineStr">
        <is>
          <t>Banner</t>
        </is>
      </c>
      <c r="F72" s="4" t="inlineStr">
        <is>
          <t>Body</t>
        </is>
      </c>
      <c r="G72" s="4" t="inlineStr">
        <is>
          <t>Missing</t>
        </is>
      </c>
      <c r="H72" s="4" t="inlineStr"/>
      <c r="I72" s="4" t="inlineStr"/>
    </row>
    <row r="73" ht="31" customHeight="1">
      <c r="A73" s="17" t="inlineStr">
        <is>
          <t>home_culture_link</t>
        </is>
      </c>
      <c r="B73" s="4" t="inlineStr">
        <is>
          <t>feature:home · strings.xml</t>
        </is>
      </c>
      <c r="C73" s="4" t="inlineStr">
        <is>
          <t>Explore Indian stories</t>
        </is>
      </c>
      <c r="D73" s="63" t="inlineStr"/>
      <c r="E73" s="4" t="inlineStr">
        <is>
          <t>Banner link</t>
        </is>
      </c>
      <c r="F73" s="4" t="inlineStr">
        <is>
          <t>Short</t>
        </is>
      </c>
      <c r="G73" s="4" t="inlineStr">
        <is>
          <t>Missing</t>
        </is>
      </c>
      <c r="H73" s="4" t="inlineStr"/>
      <c r="I73" s="4" t="inlineStr"/>
    </row>
    <row r="74" ht="18" customHeight="1">
      <c r="A74" s="17" t="inlineStr">
        <is>
          <t>category_all</t>
        </is>
      </c>
      <c r="B74" s="4" t="inlineStr">
        <is>
          <t>core:ui · strings.xml</t>
        </is>
      </c>
      <c r="C74" s="4" t="inlineStr">
        <is>
          <t>All</t>
        </is>
      </c>
      <c r="D74" s="63" t="inlineStr"/>
      <c r="E74" s="4" t="inlineStr">
        <is>
          <t>Filter chip</t>
        </is>
      </c>
      <c r="F74" s="4" t="inlineStr">
        <is>
          <t>Chip</t>
        </is>
      </c>
      <c r="G74" s="4" t="inlineStr">
        <is>
          <t>Missing</t>
        </is>
      </c>
      <c r="H74" s="4" t="inlineStr"/>
      <c r="I74" s="4" t="inlineStr"/>
    </row>
    <row r="75" ht="18" customHeight="1">
      <c r="A75" s="17" t="inlineStr">
        <is>
          <t>category_bedtime</t>
        </is>
      </c>
      <c r="B75" s="4" t="inlineStr">
        <is>
          <t>core:ui · strings.xml</t>
        </is>
      </c>
      <c r="C75" s="4" t="inlineStr">
        <is>
          <t>Bedtime</t>
        </is>
      </c>
      <c r="D75" s="63" t="inlineStr"/>
      <c r="E75" s="4" t="inlineStr">
        <is>
          <t>Category</t>
        </is>
      </c>
      <c r="F75" s="4" t="inlineStr">
        <is>
          <t>Chip/tile</t>
        </is>
      </c>
      <c r="G75" s="4" t="inlineStr">
        <is>
          <t>Missing</t>
        </is>
      </c>
      <c r="H75" s="4" t="inlineStr"/>
      <c r="I75" s="4" t="inlineStr"/>
    </row>
    <row r="76" ht="18" customHeight="1">
      <c r="A76" s="17" t="inlineStr">
        <is>
          <t>category_friendship</t>
        </is>
      </c>
      <c r="B76" s="4" t="inlineStr">
        <is>
          <t>core:ui · strings.xml</t>
        </is>
      </c>
      <c r="C76" s="4" t="inlineStr">
        <is>
          <t>Friendship</t>
        </is>
      </c>
      <c r="D76" s="63" t="inlineStr"/>
      <c r="E76" s="4" t="inlineStr">
        <is>
          <t>Category</t>
        </is>
      </c>
      <c r="F76" s="4" t="inlineStr">
        <is>
          <t>Chip/tile</t>
        </is>
      </c>
      <c r="G76" s="4" t="inlineStr">
        <is>
          <t>Missing</t>
        </is>
      </c>
      <c r="H76" s="4" t="inlineStr"/>
      <c r="I76" s="4" t="inlineStr"/>
    </row>
    <row r="77" ht="18" customHeight="1">
      <c r="A77" s="17" t="inlineStr">
        <is>
          <t>category_indian_tales</t>
        </is>
      </c>
      <c r="B77" s="4" t="inlineStr">
        <is>
          <t>core:ui · strings.xml</t>
        </is>
      </c>
      <c r="C77" s="4" t="inlineStr">
        <is>
          <t>Indian Tales</t>
        </is>
      </c>
      <c r="D77" s="63" t="inlineStr"/>
      <c r="E77" s="4" t="inlineStr">
        <is>
          <t>Category</t>
        </is>
      </c>
      <c r="F77" s="4" t="inlineStr">
        <is>
          <t>Chip/tile</t>
        </is>
      </c>
      <c r="G77" s="4" t="inlineStr">
        <is>
          <t>Missing</t>
        </is>
      </c>
      <c r="H77" s="4" t="inlineStr"/>
      <c r="I77" s="4" t="inlineStr"/>
    </row>
    <row r="78" ht="18" customHeight="1">
      <c r="A78" s="17" t="inlineStr">
        <is>
          <t>category_kindness</t>
        </is>
      </c>
      <c r="B78" s="4" t="inlineStr">
        <is>
          <t>core:ui · strings.xml</t>
        </is>
      </c>
      <c r="C78" s="4" t="inlineStr">
        <is>
          <t>Kindness</t>
        </is>
      </c>
      <c r="D78" s="63" t="inlineStr"/>
      <c r="E78" s="4" t="inlineStr">
        <is>
          <t>Category</t>
        </is>
      </c>
      <c r="F78" s="4" t="inlineStr">
        <is>
          <t>Chip</t>
        </is>
      </c>
      <c r="G78" s="4" t="inlineStr">
        <is>
          <t>Missing</t>
        </is>
      </c>
      <c r="H78" s="4" t="inlineStr"/>
      <c r="I78" s="4" t="inlineStr"/>
    </row>
    <row r="79" ht="18" customHeight="1">
      <c r="A79" s="17" t="inlineStr">
        <is>
          <t>category_science</t>
        </is>
      </c>
      <c r="B79" s="4" t="inlineStr">
        <is>
          <t>core:ui · strings.xml</t>
        </is>
      </c>
      <c r="C79" s="4" t="inlineStr">
        <is>
          <t>Science</t>
        </is>
      </c>
      <c r="D79" s="63" t="inlineStr"/>
      <c r="E79" s="4" t="inlineStr">
        <is>
          <t>Category</t>
        </is>
      </c>
      <c r="F79" s="4" t="inlineStr">
        <is>
          <t>Chip</t>
        </is>
      </c>
      <c r="G79" s="4" t="inlineStr">
        <is>
          <t>Missing</t>
        </is>
      </c>
      <c r="H79" s="4" t="inlineStr"/>
      <c r="I79" s="4" t="inlineStr"/>
    </row>
    <row r="80" ht="18" customHeight="1">
      <c r="A80" s="17" t="inlineStr">
        <is>
          <t>category_panchatantra</t>
        </is>
      </c>
      <c r="B80" s="4" t="inlineStr">
        <is>
          <t>core:ui · strings.xml</t>
        </is>
      </c>
      <c r="C80" s="4" t="inlineStr">
        <is>
          <t>Panchatantra</t>
        </is>
      </c>
      <c r="D80" s="63" t="inlineStr"/>
      <c r="E80" s="4" t="inlineStr">
        <is>
          <t>Category</t>
        </is>
      </c>
      <c r="F80" s="4" t="inlineStr">
        <is>
          <t>Chip</t>
        </is>
      </c>
      <c r="G80" s="4" t="inlineStr">
        <is>
          <t>Missing</t>
        </is>
      </c>
      <c r="H80" s="4" t="inlineStr"/>
      <c r="I80" s="4" t="inlineStr"/>
    </row>
    <row r="81" ht="18" customHeight="1">
      <c r="A81" s="17" t="inlineStr">
        <is>
          <t>category_indian_folk_tales</t>
        </is>
      </c>
      <c r="B81" s="4" t="inlineStr">
        <is>
          <t>core:ui · strings.xml</t>
        </is>
      </c>
      <c r="C81" s="4" t="inlineStr">
        <is>
          <t>Indian Folk Tales</t>
        </is>
      </c>
      <c r="D81" s="63" t="inlineStr"/>
      <c r="E81" s="4" t="inlineStr">
        <is>
          <t>Category</t>
        </is>
      </c>
      <c r="F81" s="4" t="inlineStr">
        <is>
          <t>Chip</t>
        </is>
      </c>
      <c r="G81" s="4" t="inlineStr">
        <is>
          <t>Missing</t>
        </is>
      </c>
      <c r="H81" s="4" t="inlineStr"/>
      <c r="I81" s="4" t="inlineStr"/>
    </row>
    <row r="82" ht="18" customHeight="1">
      <c r="A82" s="17" t="inlineStr">
        <is>
          <t>category_festivals</t>
        </is>
      </c>
      <c r="B82" s="4" t="inlineStr">
        <is>
          <t>core:ui · strings.xml</t>
        </is>
      </c>
      <c r="C82" s="4" t="inlineStr">
        <is>
          <t>Festivals</t>
        </is>
      </c>
      <c r="D82" s="63" t="inlineStr"/>
      <c r="E82" s="4" t="inlineStr">
        <is>
          <t>Category</t>
        </is>
      </c>
      <c r="F82" s="4" t="inlineStr">
        <is>
          <t>Chip</t>
        </is>
      </c>
      <c r="G82" s="4" t="inlineStr">
        <is>
          <t>Missing</t>
        </is>
      </c>
      <c r="H82" s="4" t="inlineStr"/>
      <c r="I82" s="4" t="inlineStr"/>
    </row>
    <row r="83" ht="18" customHeight="1">
      <c r="A83" s="17" t="inlineStr">
        <is>
          <t>category_learning</t>
        </is>
      </c>
      <c r="B83" s="4" t="inlineStr">
        <is>
          <t>core:ui · strings.xml</t>
        </is>
      </c>
      <c r="C83" s="4" t="inlineStr">
        <is>
          <t>Learning</t>
        </is>
      </c>
      <c r="D83" s="63" t="inlineStr"/>
      <c r="E83" s="4" t="inlineStr">
        <is>
          <t>Category</t>
        </is>
      </c>
      <c r="F83" s="4" t="inlineStr">
        <is>
          <t>Chip</t>
        </is>
      </c>
      <c r="G83" s="4" t="inlineStr">
        <is>
          <t>Missing</t>
        </is>
      </c>
      <c r="H83" s="4" t="inlineStr"/>
      <c r="I83" s="4" t="inlineStr"/>
    </row>
    <row r="84" ht="18" customHeight="1">
      <c r="A84" s="17" t="inlineStr">
        <is>
          <t>theme_fantasy</t>
        </is>
      </c>
      <c r="B84" s="4" t="inlineStr">
        <is>
          <t>core:ui · strings.xml</t>
        </is>
      </c>
      <c r="C84" s="4" t="inlineStr">
        <is>
          <t>Fantasy</t>
        </is>
      </c>
      <c r="D84" s="63" t="inlineStr"/>
      <c r="E84" s="4" t="inlineStr">
        <is>
          <t>Create theme</t>
        </is>
      </c>
      <c r="F84" s="4" t="inlineStr">
        <is>
          <t>Chip</t>
        </is>
      </c>
      <c r="G84" s="4" t="inlineStr">
        <is>
          <t>Missing</t>
        </is>
      </c>
      <c r="H84" s="4" t="inlineStr"/>
      <c r="I84" s="4" t="inlineStr"/>
    </row>
    <row r="85" ht="18" customHeight="1">
      <c r="A85" s="17" t="inlineStr">
        <is>
          <t>theme_indian_folklore</t>
        </is>
      </c>
      <c r="B85" s="4" t="inlineStr">
        <is>
          <t>core:ui · strings.xml</t>
        </is>
      </c>
      <c r="C85" s="4" t="inlineStr">
        <is>
          <t>Indian folklore</t>
        </is>
      </c>
      <c r="D85" s="63" t="inlineStr"/>
      <c r="E85" s="4" t="inlineStr">
        <is>
          <t>Create theme</t>
        </is>
      </c>
      <c r="F85" s="4" t="inlineStr">
        <is>
          <t>Chip</t>
        </is>
      </c>
      <c r="G85" s="4" t="inlineStr">
        <is>
          <t>Missing</t>
        </is>
      </c>
      <c r="H85" s="4" t="inlineStr"/>
      <c r="I85" s="4" t="inlineStr"/>
    </row>
    <row r="86" ht="31" customHeight="1">
      <c r="A86" s="17" t="inlineStr">
        <is>
          <t>discover_title</t>
        </is>
      </c>
      <c r="B86" s="4" t="inlineStr">
        <is>
          <t>feature:discover · strings.xml</t>
        </is>
      </c>
      <c r="C86" s="4" t="inlineStr">
        <is>
          <t>Discover</t>
        </is>
      </c>
      <c r="D86" s="63" t="inlineStr"/>
      <c r="E86" s="4" t="inlineStr">
        <is>
          <t>Top bar</t>
        </is>
      </c>
      <c r="F86" s="4" t="inlineStr">
        <is>
          <t>Title</t>
        </is>
      </c>
      <c r="G86" s="4" t="inlineStr">
        <is>
          <t>Missing</t>
        </is>
      </c>
      <c r="H86" s="4" t="inlineStr"/>
      <c r="I86" s="4" t="inlineStr"/>
    </row>
    <row r="87" ht="31" customHeight="1">
      <c r="A87" s="17" t="inlineStr">
        <is>
          <t>discover_search_hint</t>
        </is>
      </c>
      <c r="B87" s="4" t="inlineStr">
        <is>
          <t>feature:discover · strings.xml</t>
        </is>
      </c>
      <c r="C87" s="4" t="inlineStr">
        <is>
          <t>Search stories, themes, or characters</t>
        </is>
      </c>
      <c r="D87" s="63" t="inlineStr"/>
      <c r="E87" s="4" t="inlineStr">
        <is>
          <t>Search placeholder</t>
        </is>
      </c>
      <c r="F87" s="4" t="inlineStr">
        <is>
          <t>Single line</t>
        </is>
      </c>
      <c r="G87" s="4" t="inlineStr">
        <is>
          <t>Missing</t>
        </is>
      </c>
      <c r="H87" s="4" t="inlineStr"/>
      <c r="I87" s="4" t="inlineStr"/>
    </row>
    <row r="88" ht="31" customHeight="1">
      <c r="A88" s="17" t="inlineStr">
        <is>
          <t>discover_clear_search</t>
        </is>
      </c>
      <c r="B88" s="4" t="inlineStr">
        <is>
          <t>feature:discover · strings.xml</t>
        </is>
      </c>
      <c r="C88" s="4" t="inlineStr">
        <is>
          <t>Clear search</t>
        </is>
      </c>
      <c r="D88" s="63" t="inlineStr"/>
      <c r="E88" s="4" t="inlineStr">
        <is>
          <t>Search ✕ / empty CTA</t>
        </is>
      </c>
      <c r="F88" s="4" t="inlineStr">
        <is>
          <t>Button/A11y</t>
        </is>
      </c>
      <c r="G88" s="4" t="inlineStr">
        <is>
          <t>Missing</t>
        </is>
      </c>
      <c r="H88" s="4" t="inlineStr"/>
      <c r="I88" s="4" t="inlineStr"/>
    </row>
    <row r="89" ht="31" customHeight="1">
      <c r="A89" s="17" t="inlineStr">
        <is>
          <t>discover_featured_eyebrow</t>
        </is>
      </c>
      <c r="B89" s="4" t="inlineStr">
        <is>
          <t>feature:discover · strings.xml</t>
        </is>
      </c>
      <c r="C89" s="4" t="inlineStr">
        <is>
          <t>Featured this week</t>
        </is>
      </c>
      <c r="D89" s="63" t="inlineStr"/>
      <c r="E89" s="4" t="inlineStr">
        <is>
          <t>Featured card (uppercased)</t>
        </is>
      </c>
      <c r="F89" s="4" t="inlineStr">
        <is>
          <t>Single line</t>
        </is>
      </c>
      <c r="G89" s="4" t="inlineStr">
        <is>
          <t>Missing</t>
        </is>
      </c>
      <c r="H89" s="4" t="inlineStr"/>
      <c r="I89" s="4" t="inlineStr"/>
    </row>
    <row r="90" ht="31" customHeight="1">
      <c r="A90" s="17" t="inlineStr">
        <is>
          <t>discover_listen_now</t>
        </is>
      </c>
      <c r="B90" s="4" t="inlineStr">
        <is>
          <t>feature:discover · strings.xml</t>
        </is>
      </c>
      <c r="C90" s="4" t="inlineStr">
        <is>
          <t>Listen now</t>
        </is>
      </c>
      <c r="D90" s="63" t="inlineStr"/>
      <c r="E90" s="4" t="inlineStr">
        <is>
          <t>Featured card</t>
        </is>
      </c>
      <c r="F90" s="4" t="inlineStr">
        <is>
          <t>Short</t>
        </is>
      </c>
      <c r="G90" s="4" t="inlineStr">
        <is>
          <t>Missing</t>
        </is>
      </c>
      <c r="H90" s="4" t="inlineStr"/>
      <c r="I90" s="4" t="inlineStr"/>
    </row>
    <row r="91" ht="31" customHeight="1">
      <c r="A91" s="17" t="inlineStr">
        <is>
          <t>discover_popular</t>
        </is>
      </c>
      <c r="B91" s="4" t="inlineStr">
        <is>
          <t>feature:discover · strings.xml</t>
        </is>
      </c>
      <c r="C91" s="4" t="inlineStr">
        <is>
          <t>Popular right now</t>
        </is>
      </c>
      <c r="D91" s="63" t="inlineStr"/>
      <c r="E91" s="4" t="inlineStr">
        <is>
          <t>Section</t>
        </is>
      </c>
      <c r="F91" s="4" t="inlineStr">
        <is>
          <t>Heading</t>
        </is>
      </c>
      <c r="G91" s="4" t="inlineStr">
        <is>
          <t>Missing</t>
        </is>
      </c>
      <c r="H91" s="4" t="inlineStr"/>
      <c r="I91" s="4" t="inlineStr"/>
    </row>
    <row r="92" ht="31" customHeight="1">
      <c r="A92" s="17" t="inlineStr">
        <is>
          <t>discover_bedtime_favourites</t>
        </is>
      </c>
      <c r="B92" s="4" t="inlineStr">
        <is>
          <t>feature:discover · strings.xml</t>
        </is>
      </c>
      <c r="C92" s="4" t="inlineStr">
        <is>
          <t>Bedtime favourites</t>
        </is>
      </c>
      <c r="D92" s="63" t="inlineStr"/>
      <c r="E92" s="4" t="inlineStr">
        <is>
          <t>Section</t>
        </is>
      </c>
      <c r="F92" s="4" t="inlineStr">
        <is>
          <t>Heading</t>
        </is>
      </c>
      <c r="G92" s="4" t="inlineStr">
        <is>
          <t>Missing</t>
        </is>
      </c>
      <c r="H92" s="4" t="inlineStr"/>
      <c r="I92" s="4" t="inlineStr"/>
    </row>
    <row r="93" ht="31" customHeight="1">
      <c r="A93" s="17" t="inlineStr">
        <is>
          <t>discover_results_for</t>
        </is>
      </c>
      <c r="B93" s="4" t="inlineStr">
        <is>
          <t>feature:discover · strings.xml</t>
        </is>
      </c>
      <c r="C93" s="4" t="inlineStr">
        <is>
          <t>Results for “%1$s”</t>
        </is>
      </c>
      <c r="D93" s="63" t="inlineStr"/>
      <c r="E93" s="4" t="inlineStr">
        <is>
          <t>Section while searching</t>
        </is>
      </c>
      <c r="F93" s="4" t="inlineStr">
        <is>
          <t>Format</t>
        </is>
      </c>
      <c r="G93" s="4" t="inlineStr">
        <is>
          <t>Missing</t>
        </is>
      </c>
      <c r="H93" s="4" t="inlineStr"/>
      <c r="I93" s="4" t="inlineStr"/>
    </row>
    <row r="94" ht="31" customHeight="1">
      <c r="A94" s="17" t="inlineStr">
        <is>
          <t>discover_empty_title</t>
        </is>
      </c>
      <c r="B94" s="4" t="inlineStr">
        <is>
          <t>feature:discover · strings.xml</t>
        </is>
      </c>
      <c r="C94" s="4" t="inlineStr">
        <is>
          <t>No stories found</t>
        </is>
      </c>
      <c r="D94" s="63" t="inlineStr"/>
      <c r="E94" s="4" t="inlineStr">
        <is>
          <t>Empty state</t>
        </is>
      </c>
      <c r="F94" s="4" t="inlineStr">
        <is>
          <t>Heading</t>
        </is>
      </c>
      <c r="G94" s="4" t="inlineStr">
        <is>
          <t>Missing</t>
        </is>
      </c>
      <c r="H94" s="4" t="inlineStr"/>
      <c r="I94" s="4" t="inlineStr"/>
    </row>
    <row r="95" ht="31" customHeight="1">
      <c r="A95" s="17" t="inlineStr">
        <is>
          <t>discover_empty_body</t>
        </is>
      </c>
      <c r="B95" s="4" t="inlineStr">
        <is>
          <t>feature:discover · strings.xml</t>
        </is>
      </c>
      <c r="C95" s="4" t="inlineStr">
        <is>
          <t>Try a different title or explore one of our story collections.</t>
        </is>
      </c>
      <c r="D95" s="63" t="inlineStr"/>
      <c r="E95" s="4" t="inlineStr">
        <is>
          <t>Empty state</t>
        </is>
      </c>
      <c r="F95" s="4" t="inlineStr">
        <is>
          <t>Body</t>
        </is>
      </c>
      <c r="G95" s="4" t="inlineStr">
        <is>
          <t>Missing</t>
        </is>
      </c>
      <c r="H95" s="4" t="inlineStr"/>
      <c r="I95" s="4" t="inlineStr"/>
    </row>
    <row r="96" ht="31" customHeight="1">
      <c r="A96" s="17" t="inlineStr">
        <is>
          <t>category_story_count</t>
        </is>
      </c>
      <c r="B96" s="4" t="inlineStr">
        <is>
          <t>feature:discover · strings.xml</t>
        </is>
      </c>
      <c r="C96" s="4" t="inlineStr">
        <is>
          <t>%1$d stories</t>
        </is>
      </c>
      <c r="D96" s="63" t="inlineStr"/>
      <c r="E96" s="4" t="inlineStr">
        <is>
          <t>Category hero (uppercased)</t>
        </is>
      </c>
      <c r="F96" s="4" t="inlineStr">
        <is>
          <t>Plural</t>
        </is>
      </c>
      <c r="G96" s="4" t="inlineStr">
        <is>
          <t>Missing</t>
        </is>
      </c>
      <c r="H96" s="4" t="inlineStr"/>
      <c r="I96" s="4" t="inlineStr"/>
    </row>
    <row r="97" ht="31" customHeight="1">
      <c r="A97" s="17" t="inlineStr">
        <is>
          <t>category_indian_tales_desc</t>
        </is>
      </c>
      <c r="B97" s="4" t="inlineStr">
        <is>
          <t>feature:discover · strings.xml</t>
        </is>
      </c>
      <c r="C97" s="4" t="inlineStr">
        <is>
          <t>Warm, wonder-filled adventures inspired by India’s many landscapes and storytelling traditions.</t>
        </is>
      </c>
      <c r="D97" s="63" t="inlineStr"/>
      <c r="E97" s="4" t="inlineStr">
        <is>
          <t>Category hero</t>
        </is>
      </c>
      <c r="F97" s="4" t="inlineStr">
        <is>
          <t>Body (may move to mock data)</t>
        </is>
      </c>
      <c r="G97" s="4" t="inlineStr">
        <is>
          <t>Missing</t>
        </is>
      </c>
      <c r="H97" s="4" t="inlineStr"/>
      <c r="I97" s="4" t="inlineStr"/>
    </row>
    <row r="98" ht="31" customHeight="1">
      <c r="A98" s="17" t="inlineStr">
        <is>
          <t>category_list_heading</t>
        </is>
      </c>
      <c r="B98" s="4" t="inlineStr">
        <is>
          <t>feature:discover · strings.xml</t>
        </is>
      </c>
      <c r="C98" s="4" t="inlineStr">
        <is>
          <t>Stories for curious minds</t>
        </is>
      </c>
      <c r="D98" s="63" t="inlineStr"/>
      <c r="E98" s="4" t="inlineStr">
        <is>
          <t>SCR-05</t>
        </is>
      </c>
      <c r="F98" s="4" t="inlineStr">
        <is>
          <t>Heading</t>
        </is>
      </c>
      <c r="G98" s="4" t="inlineStr">
        <is>
          <t>Missing</t>
        </is>
      </c>
      <c r="H98" s="4" t="inlineStr"/>
      <c r="I98" s="4" t="inlineStr"/>
    </row>
    <row r="99" ht="31" customHeight="1">
      <c r="A99" s="17" t="inlineStr">
        <is>
          <t>sort_recommended</t>
        </is>
      </c>
      <c r="B99" s="4" t="inlineStr">
        <is>
          <t>feature:discover · strings.xml</t>
        </is>
      </c>
      <c r="C99" s="4" t="inlineStr">
        <is>
          <t>Recommended</t>
        </is>
      </c>
      <c r="D99" s="63" t="inlineStr"/>
      <c r="E99" s="4" t="inlineStr">
        <is>
          <t>Sort</t>
        </is>
      </c>
      <c r="F99" s="4" t="inlineStr">
        <is>
          <t>Option</t>
        </is>
      </c>
      <c r="G99" s="4" t="inlineStr">
        <is>
          <t>Missing</t>
        </is>
      </c>
      <c r="H99" s="4" t="inlineStr"/>
      <c r="I99" s="4" t="inlineStr"/>
    </row>
    <row r="100" ht="31" customHeight="1">
      <c r="A100" s="17" t="inlineStr">
        <is>
          <t>sort_shortest_first</t>
        </is>
      </c>
      <c r="B100" s="4" t="inlineStr">
        <is>
          <t>feature:discover · strings.xml</t>
        </is>
      </c>
      <c r="C100" s="4" t="inlineStr">
        <is>
          <t>Shortest first</t>
        </is>
      </c>
      <c r="D100" s="63" t="inlineStr"/>
      <c r="E100" s="4" t="inlineStr">
        <is>
          <t>Sort</t>
        </is>
      </c>
      <c r="F100" s="4" t="inlineStr">
        <is>
          <t>Option</t>
        </is>
      </c>
      <c r="G100" s="4" t="inlineStr">
        <is>
          <t>Missing</t>
        </is>
      </c>
      <c r="H100" s="4" t="inlineStr"/>
      <c r="I100" s="4" t="inlineStr"/>
    </row>
    <row r="101" ht="31" customHeight="1">
      <c r="A101" s="17" t="inlineStr">
        <is>
          <t>sort_newest</t>
        </is>
      </c>
      <c r="B101" s="4" t="inlineStr">
        <is>
          <t>feature:discover · strings.xml</t>
        </is>
      </c>
      <c r="C101" s="4" t="inlineStr">
        <is>
          <t>Newest</t>
        </is>
      </c>
      <c r="D101" s="63" t="inlineStr"/>
      <c r="E101" s="4" t="inlineStr">
        <is>
          <t>Sort</t>
        </is>
      </c>
      <c r="F101" s="4" t="inlineStr">
        <is>
          <t>Option</t>
        </is>
      </c>
      <c r="G101" s="4" t="inlineStr">
        <is>
          <t>Missing</t>
        </is>
      </c>
      <c r="H101" s="4" t="inlineStr"/>
      <c r="I101" s="4" t="inlineStr"/>
    </row>
    <row r="102" ht="31" customHeight="1">
      <c r="A102" s="17" t="inlineStr">
        <is>
          <t>detail_lesson_title</t>
        </is>
      </c>
      <c r="B102" s="4" t="inlineStr">
        <is>
          <t>feature:discover · strings.xml</t>
        </is>
      </c>
      <c r="C102" s="4" t="inlineStr">
        <is>
          <t>A little lesson</t>
        </is>
      </c>
      <c r="D102" s="63" t="inlineStr"/>
      <c r="E102" s="4" t="inlineStr">
        <is>
          <t>Lesson panel</t>
        </is>
      </c>
      <c r="F102" s="4" t="inlineStr">
        <is>
          <t>Heading</t>
        </is>
      </c>
      <c r="G102" s="4" t="inlineStr">
        <is>
          <t>Missing</t>
        </is>
      </c>
      <c r="H102" s="4" t="inlineStr"/>
      <c r="I102" s="4" t="inlineStr"/>
    </row>
    <row r="103" ht="31" customHeight="1">
      <c r="A103" s="17" t="inlineStr">
        <is>
          <t>detail_narrated_story</t>
        </is>
      </c>
      <c r="B103" s="4" t="inlineStr">
        <is>
          <t>feature:discover · strings.xml</t>
        </is>
      </c>
      <c r="C103" s="4" t="inlineStr">
        <is>
          <t>Narrated story</t>
        </is>
      </c>
      <c r="D103" s="63" t="inlineStr"/>
      <c r="E103" s="4" t="inlineStr">
        <is>
          <t>Narration row</t>
        </is>
      </c>
      <c r="F103" s="4" t="inlineStr">
        <is>
          <t>Heading</t>
        </is>
      </c>
      <c r="G103" s="4" t="inlineStr">
        <is>
          <t>Missing</t>
        </is>
      </c>
      <c r="H103" s="4" t="inlineStr"/>
      <c r="I103" s="4" t="inlineStr"/>
    </row>
    <row r="104" ht="31" customHeight="1">
      <c r="A104" s="17" t="inlineStr">
        <is>
          <t>detail_narration_desc</t>
        </is>
      </c>
      <c r="B104" s="4" t="inlineStr">
        <is>
          <t>feature:discover · strings.xml</t>
        </is>
      </c>
      <c r="C104" s="4" t="inlineStr">
        <is>
          <t>Warm, expressive voice · %1$s</t>
        </is>
      </c>
      <c r="D104" s="63" t="inlineStr"/>
      <c r="E104" s="4" t="inlineStr">
        <is>
          <t>Narration row</t>
        </is>
      </c>
      <c r="F104" s="4" t="inlineStr">
        <is>
          <t>%1$s = language</t>
        </is>
      </c>
      <c r="G104" s="4" t="inlineStr">
        <is>
          <t>Missing</t>
        </is>
      </c>
      <c r="H104" s="4" t="inlineStr"/>
      <c r="I104" s="4" t="inlineStr"/>
    </row>
    <row r="105" ht="31" customHeight="1">
      <c r="A105" s="17" t="inlineStr">
        <is>
          <t>detail_listen</t>
        </is>
      </c>
      <c r="B105" s="4" t="inlineStr">
        <is>
          <t>feature:discover · strings.xml</t>
        </is>
      </c>
      <c r="C105" s="4" t="inlineStr">
        <is>
          <t>Listen to Story</t>
        </is>
      </c>
      <c r="D105" s="63" t="inlineStr"/>
      <c r="E105" s="4" t="inlineStr">
        <is>
          <t>Sticky CTA</t>
        </is>
      </c>
      <c r="F105" s="4" t="inlineStr">
        <is>
          <t>Button</t>
        </is>
      </c>
      <c r="G105" s="4" t="inlineStr">
        <is>
          <t>Missing</t>
        </is>
      </c>
      <c r="H105" s="4" t="inlineStr"/>
      <c r="I105" s="4" t="inlineStr"/>
    </row>
    <row r="106" ht="31" customHeight="1">
      <c r="A106" s="17" t="inlineStr">
        <is>
          <t>detail_read</t>
        </is>
      </c>
      <c r="B106" s="4" t="inlineStr">
        <is>
          <t>feature:discover · strings.xml</t>
        </is>
      </c>
      <c r="C106" s="4" t="inlineStr">
        <is>
          <t>Read Story</t>
        </is>
      </c>
      <c r="D106" s="63" t="inlineStr"/>
      <c r="E106" s="4" t="inlineStr">
        <is>
          <t>Sticky CTA</t>
        </is>
      </c>
      <c r="F106" s="4" t="inlineStr">
        <is>
          <t>Button</t>
        </is>
      </c>
      <c r="G106" s="4" t="inlineStr">
        <is>
          <t>Missing</t>
        </is>
      </c>
      <c r="H106" s="4" t="inlineStr"/>
      <c r="I106" s="4" t="inlineStr"/>
    </row>
    <row r="107" ht="31" customHeight="1">
      <c r="A107" s="17" t="inlineStr">
        <is>
          <t>create_title</t>
        </is>
      </c>
      <c r="B107" s="4" t="inlineStr">
        <is>
          <t>feature:create · strings.xml</t>
        </is>
      </c>
      <c r="C107" s="4" t="inlineStr">
        <is>
          <t>Create a Story</t>
        </is>
      </c>
      <c r="D107" s="63" t="inlineStr"/>
      <c r="E107" s="4" t="inlineStr">
        <is>
          <t>Top bar</t>
        </is>
      </c>
      <c r="F107" s="4" t="inlineStr">
        <is>
          <t>Title</t>
        </is>
      </c>
      <c r="G107" s="4" t="inlineStr">
        <is>
          <t>Missing</t>
        </is>
      </c>
      <c r="H107" s="4" t="inlineStr"/>
      <c r="I107" s="4" t="inlineStr"/>
    </row>
    <row r="108" ht="31" customHeight="1">
      <c r="A108" s="17" t="inlineStr">
        <is>
          <t>create_parent_guided</t>
        </is>
      </c>
      <c r="B108" s="4" t="inlineStr">
        <is>
          <t>feature:create · strings.xml</t>
        </is>
      </c>
      <c r="C108" s="4" t="inlineStr">
        <is>
          <t>Parent guided</t>
        </is>
      </c>
      <c r="D108" s="63" t="inlineStr"/>
      <c r="E108" s="4" t="inlineStr">
        <is>
          <t>Top bar label</t>
        </is>
      </c>
      <c r="F108" s="4" t="inlineStr">
        <is>
          <t>Short</t>
        </is>
      </c>
      <c r="G108" s="4" t="inlineStr">
        <is>
          <t>Missing</t>
        </is>
      </c>
      <c r="H108" s="4" t="inlineStr"/>
      <c r="I108" s="4" t="inlineStr"/>
    </row>
    <row r="109" ht="31" customHeight="1">
      <c r="A109" s="17" t="inlineStr">
        <is>
          <t>create_intro_title</t>
        </is>
      </c>
      <c r="B109" s="4" t="inlineStr">
        <is>
          <t>feature:create · strings.xml</t>
        </is>
      </c>
      <c r="C109" s="4" t="inlineStr">
        <is>
          <t>Let’s turn today into a story.</t>
        </is>
      </c>
      <c r="D109" s="63" t="inlineStr"/>
      <c r="E109" s="4" t="inlineStr">
        <is>
          <t>Intro</t>
        </is>
      </c>
      <c r="F109" s="4" t="inlineStr">
        <is>
          <t>Title</t>
        </is>
      </c>
      <c r="G109" s="4" t="inlineStr">
        <is>
          <t>Missing</t>
        </is>
      </c>
      <c r="H109" s="4" t="inlineStr"/>
      <c r="I109" s="4" t="inlineStr"/>
    </row>
    <row r="110" ht="31" customHeight="1">
      <c r="A110" s="17" t="inlineStr">
        <is>
          <t>create_intro_body</t>
        </is>
      </c>
      <c r="B110" s="4" t="inlineStr">
        <is>
          <t>feature:create · strings.xml</t>
        </is>
      </c>
      <c r="C110" s="4" t="inlineStr">
        <is>
          <t>Tell us about your child’s day. We’ll turn the little moments into a magical adventure.</t>
        </is>
      </c>
      <c r="D110" s="63" t="inlineStr"/>
      <c r="E110" s="4" t="inlineStr">
        <is>
          <t>Intro</t>
        </is>
      </c>
      <c r="F110" s="4" t="inlineStr">
        <is>
          <t>Body</t>
        </is>
      </c>
      <c r="G110" s="4" t="inlineStr">
        <is>
          <t>Missing</t>
        </is>
      </c>
      <c r="H110" s="4" t="inlineStr"/>
      <c r="I110" s="4" t="inlineStr"/>
    </row>
    <row r="111" ht="31" customHeight="1">
      <c r="A111" s="17" t="inlineStr">
        <is>
          <t>create_what_happened</t>
        </is>
      </c>
      <c r="B111" s="4" t="inlineStr">
        <is>
          <t>feature:create · strings.xml</t>
        </is>
      </c>
      <c r="C111" s="4" t="inlineStr">
        <is>
          <t>What happened today?</t>
        </is>
      </c>
      <c r="D111" s="63" t="inlineStr"/>
      <c r="E111" s="4" t="inlineStr">
        <is>
          <t>Textarea label</t>
        </is>
      </c>
      <c r="F111" s="4" t="inlineStr">
        <is>
          <t>Label</t>
        </is>
      </c>
      <c r="G111" s="4" t="inlineStr">
        <is>
          <t>Missing</t>
        </is>
      </c>
      <c r="H111" s="4" t="inlineStr"/>
      <c r="I111" s="4" t="inlineStr"/>
    </row>
    <row r="112" ht="31" customHeight="1">
      <c r="A112" s="17" t="inlineStr">
        <is>
          <t>create_placeholder</t>
        </is>
      </c>
      <c r="B112" s="4" t="inlineStr">
        <is>
          <t>feature:create · strings.xml</t>
        </is>
      </c>
      <c r="C112" s="4" t="inlineStr">
        <is>
          <t>%1$s helped a friend at school and played cricket in the evening…</t>
        </is>
      </c>
      <c r="D112" s="63" t="inlineStr"/>
      <c r="E112" s="4" t="inlineStr">
        <is>
          <t>Textarea placeholder</t>
        </is>
      </c>
      <c r="F112" s="4" t="inlineStr">
        <is>
          <t>Neutral wording proposed (design: 'his friend')</t>
        </is>
      </c>
      <c r="G112" s="4" t="inlineStr">
        <is>
          <t>Missing</t>
        </is>
      </c>
      <c r="H112" s="4" t="inlineStr"/>
      <c r="I112" s="4" t="inlineStr"/>
    </row>
    <row r="113" ht="31" customHeight="1">
      <c r="A113" s="17" t="inlineStr">
        <is>
          <t>create_counter</t>
        </is>
      </c>
      <c r="B113" s="4" t="inlineStr">
        <is>
          <t>feature:create · strings.xml</t>
        </is>
      </c>
      <c r="C113" s="4" t="inlineStr">
        <is>
          <t>%1$d/%2$d</t>
        </is>
      </c>
      <c r="D113" s="63" t="inlineStr"/>
      <c r="E113" s="4" t="inlineStr">
        <is>
          <t>Counter</t>
        </is>
      </c>
      <c r="F113" s="4" t="inlineStr">
        <is>
          <t>Format</t>
        </is>
      </c>
      <c r="G113" s="4" t="inlineStr">
        <is>
          <t>Missing</t>
        </is>
      </c>
      <c r="H113" s="4" t="inlineStr"/>
      <c r="I113" s="4" t="inlineStr"/>
    </row>
    <row r="114" ht="31" customHeight="1">
      <c r="A114" s="17" t="inlineStr">
        <is>
          <t>create_suggest_school</t>
        </is>
      </c>
      <c r="B114" s="4" t="inlineStr">
        <is>
          <t>feature:create · strings.xml</t>
        </is>
      </c>
      <c r="C114" s="4" t="inlineStr">
        <is>
          <t>A day at school</t>
        </is>
      </c>
      <c r="D114" s="63" t="inlineStr"/>
      <c r="E114" s="4" t="inlineStr">
        <is>
          <t>Suggestion chip</t>
        </is>
      </c>
      <c r="F114" s="4" t="inlineStr">
        <is>
          <t>Chip</t>
        </is>
      </c>
      <c r="G114" s="4" t="inlineStr">
        <is>
          <t>Missing</t>
        </is>
      </c>
      <c r="H114" s="4" t="inlineStr"/>
      <c r="I114" s="4" t="inlineStr"/>
    </row>
    <row r="115" ht="31" customHeight="1">
      <c r="A115" s="17" t="inlineStr">
        <is>
          <t>create_suggest_family</t>
        </is>
      </c>
      <c r="B115" s="4" t="inlineStr">
        <is>
          <t>feature:create · strings.xml</t>
        </is>
      </c>
      <c r="C115" s="4" t="inlineStr">
        <is>
          <t>A family adventure</t>
        </is>
      </c>
      <c r="D115" s="63" t="inlineStr"/>
      <c r="E115" s="4" t="inlineStr">
        <is>
          <t>Suggestion chip</t>
        </is>
      </c>
      <c r="F115" s="4" t="inlineStr">
        <is>
          <t>Chip</t>
        </is>
      </c>
      <c r="G115" s="4" t="inlineStr">
        <is>
          <t>Missing</t>
        </is>
      </c>
      <c r="H115" s="4" t="inlineStr"/>
      <c r="I115" s="4" t="inlineStr"/>
    </row>
    <row r="116" ht="31" customHeight="1">
      <c r="A116" s="17" t="inlineStr">
        <is>
          <t>create_suggest_funny</t>
        </is>
      </c>
      <c r="B116" s="4" t="inlineStr">
        <is>
          <t>feature:create · strings.xml</t>
        </is>
      </c>
      <c r="C116" s="4" t="inlineStr">
        <is>
          <t>Something funny happened</t>
        </is>
      </c>
      <c r="D116" s="63" t="inlineStr"/>
      <c r="E116" s="4" t="inlineStr">
        <is>
          <t>Suggestion chip</t>
        </is>
      </c>
      <c r="F116" s="4" t="inlineStr">
        <is>
          <t>Chip</t>
        </is>
      </c>
      <c r="G116" s="4" t="inlineStr">
        <is>
          <t>Missing</t>
        </is>
      </c>
      <c r="H116" s="4" t="inlineStr"/>
      <c r="I116" s="4" t="inlineStr"/>
    </row>
    <row r="117" ht="31" customHeight="1">
      <c r="A117" s="17" t="inlineStr">
        <is>
          <t>create_suggest_learned</t>
        </is>
      </c>
      <c r="B117" s="4" t="inlineStr">
        <is>
          <t>feature:create · strings.xml</t>
        </is>
      </c>
      <c r="C117" s="4" t="inlineStr">
        <is>
          <t>I learned something new</t>
        </is>
      </c>
      <c r="D117" s="63" t="inlineStr"/>
      <c r="E117" s="4" t="inlineStr">
        <is>
          <t>Suggestion chip</t>
        </is>
      </c>
      <c r="F117" s="4" t="inlineStr">
        <is>
          <t>Chip</t>
        </is>
      </c>
      <c r="G117" s="4" t="inlineStr">
        <is>
          <t>Missing</t>
        </is>
      </c>
      <c r="H117" s="4" t="inlineStr"/>
      <c r="I117" s="4" t="inlineStr"/>
    </row>
    <row r="118" ht="31" customHeight="1">
      <c r="A118" s="17" t="inlineStr">
        <is>
          <t>create_suggest_kindness</t>
        </is>
      </c>
      <c r="B118" s="4" t="inlineStr">
        <is>
          <t>feature:create · strings.xml</t>
        </is>
      </c>
      <c r="C118" s="4" t="inlineStr">
        <is>
          <t>An act of kindness</t>
        </is>
      </c>
      <c r="D118" s="63" t="inlineStr"/>
      <c r="E118" s="4" t="inlineStr">
        <is>
          <t>Suggestion chip</t>
        </is>
      </c>
      <c r="F118" s="4" t="inlineStr">
        <is>
          <t>Chip</t>
        </is>
      </c>
      <c r="G118" s="4" t="inlineStr">
        <is>
          <t>Missing</t>
        </is>
      </c>
      <c r="H118" s="4" t="inlineStr"/>
      <c r="I118" s="4" t="inlineStr"/>
    </row>
    <row r="119" ht="31" customHeight="1">
      <c r="A119" s="17" t="inlineStr">
        <is>
          <t>create_story_hero</t>
        </is>
      </c>
      <c r="B119" s="4" t="inlineStr">
        <is>
          <t>feature:create · strings.xml</t>
        </is>
      </c>
      <c r="C119" s="4" t="inlineStr">
        <is>
          <t>Story hero</t>
        </is>
      </c>
      <c r="D119" s="63" t="inlineStr"/>
      <c r="E119" s="4" t="inlineStr">
        <is>
          <t>Hero selector (uppercased)</t>
        </is>
      </c>
      <c r="F119" s="4" t="inlineStr">
        <is>
          <t>Label</t>
        </is>
      </c>
      <c r="G119" s="4" t="inlineStr">
        <is>
          <t>Missing</t>
        </is>
      </c>
      <c r="H119" s="4" t="inlineStr"/>
      <c r="I119" s="4" t="inlineStr"/>
    </row>
    <row r="120" ht="31" customHeight="1">
      <c r="A120" s="17" t="inlineStr">
        <is>
          <t>create_hero_value</t>
        </is>
      </c>
      <c r="B120" s="4" t="inlineStr">
        <is>
          <t>feature:create · strings.xml</t>
        </is>
      </c>
      <c r="C120" s="4" t="inlineStr">
        <is>
          <t>%1$s, %2$d years</t>
        </is>
      </c>
      <c r="D120" s="63" t="inlineStr"/>
      <c r="E120" s="4" t="inlineStr">
        <is>
          <t>Hero selector</t>
        </is>
      </c>
      <c r="F120" s="4" t="inlineStr">
        <is>
          <t>Plural/format</t>
        </is>
      </c>
      <c r="G120" s="4" t="inlineStr">
        <is>
          <t>Missing</t>
        </is>
      </c>
      <c r="H120" s="4" t="inlineStr"/>
      <c r="I120" s="4" t="inlineStr"/>
    </row>
    <row r="121" ht="31" customHeight="1">
      <c r="A121" s="17" t="inlineStr">
        <is>
          <t>create_select_child_cd</t>
        </is>
      </c>
      <c r="B121" s="4" t="inlineStr">
        <is>
          <t>feature:create · strings.xml</t>
        </is>
      </c>
      <c r="C121" s="4" t="inlineStr">
        <is>
          <t>Select child</t>
        </is>
      </c>
      <c r="D121" s="63" t="inlineStr"/>
      <c r="E121" s="4" t="inlineStr">
        <is>
          <t>Hero select</t>
        </is>
      </c>
      <c r="F121" s="4" t="inlineStr">
        <is>
          <t>A11y</t>
        </is>
      </c>
      <c r="G121" s="4" t="inlineStr">
        <is>
          <t>Missing</t>
        </is>
      </c>
      <c r="H121" s="4" t="inlineStr"/>
      <c r="I121" s="4" t="inlineStr"/>
    </row>
    <row r="122" ht="31" customHeight="1">
      <c r="A122" s="17" t="inlineStr">
        <is>
          <t>create_story_theme</t>
        </is>
      </c>
      <c r="B122" s="4" t="inlineStr">
        <is>
          <t>feature:create · strings.xml</t>
        </is>
      </c>
      <c r="C122" s="4" t="inlineStr">
        <is>
          <t>Story theme</t>
        </is>
      </c>
      <c r="D122" s="63" t="inlineStr"/>
      <c r="E122" s="4" t="inlineStr">
        <is>
          <t>Field label</t>
        </is>
      </c>
      <c r="F122" s="4" t="inlineStr">
        <is>
          <t>Label</t>
        </is>
      </c>
      <c r="G122" s="4" t="inlineStr">
        <is>
          <t>Missing</t>
        </is>
      </c>
      <c r="H122" s="4" t="inlineStr"/>
      <c r="I122" s="4" t="inlineStr"/>
    </row>
    <row r="123" ht="31" customHeight="1">
      <c r="A123" s="17" t="inlineStr">
        <is>
          <t>create_more_options</t>
        </is>
      </c>
      <c r="B123" s="4" t="inlineStr">
        <is>
          <t>feature:create · strings.xml</t>
        </is>
      </c>
      <c r="C123" s="4" t="inlineStr">
        <is>
          <t>More options</t>
        </is>
      </c>
      <c r="D123" s="63" t="inlineStr"/>
      <c r="E123" s="4" t="inlineStr">
        <is>
          <t>Collapsible</t>
        </is>
      </c>
      <c r="F123" s="4" t="inlineStr">
        <is>
          <t>Short</t>
        </is>
      </c>
      <c r="G123" s="4" t="inlineStr">
        <is>
          <t>Missing</t>
        </is>
      </c>
      <c r="H123" s="4" t="inlineStr"/>
      <c r="I123" s="4" t="inlineStr"/>
    </row>
    <row r="124" ht="31" customHeight="1">
      <c r="A124" s="17" t="inlineStr">
        <is>
          <t>create_mood</t>
        </is>
      </c>
      <c r="B124" s="4" t="inlineStr">
        <is>
          <t>feature:create · strings.xml</t>
        </is>
      </c>
      <c r="C124" s="4" t="inlineStr">
        <is>
          <t>Mood</t>
        </is>
      </c>
      <c r="D124" s="63" t="inlineStr"/>
      <c r="E124" s="4" t="inlineStr">
        <is>
          <t>Field label</t>
        </is>
      </c>
      <c r="F124" s="4" t="inlineStr">
        <is>
          <t>Label</t>
        </is>
      </c>
      <c r="G124" s="4" t="inlineStr">
        <is>
          <t>Missing</t>
        </is>
      </c>
      <c r="H124" s="4" t="inlineStr"/>
      <c r="I124" s="4" t="inlineStr"/>
    </row>
    <row r="125" ht="31" customHeight="1">
      <c r="A125" s="17" t="inlineStr">
        <is>
          <t>mood_calm</t>
        </is>
      </c>
      <c r="B125" s="4" t="inlineStr">
        <is>
          <t>feature:create · strings.xml</t>
        </is>
      </c>
      <c r="C125" s="4" t="inlineStr">
        <is>
          <t>Calm</t>
        </is>
      </c>
      <c r="D125" s="63" t="inlineStr"/>
      <c r="E125" s="4" t="inlineStr">
        <is>
          <t>Mood chip</t>
        </is>
      </c>
      <c r="F125" s="4" t="inlineStr">
        <is>
          <t>Chip</t>
        </is>
      </c>
      <c r="G125" s="4" t="inlineStr">
        <is>
          <t>Missing</t>
        </is>
      </c>
      <c r="H125" s="4" t="inlineStr"/>
      <c r="I125" s="4" t="inlineStr"/>
    </row>
    <row r="126" ht="31" customHeight="1">
      <c r="A126" s="17" t="inlineStr">
        <is>
          <t>mood_funny</t>
        </is>
      </c>
      <c r="B126" s="4" t="inlineStr">
        <is>
          <t>feature:create · strings.xml</t>
        </is>
      </c>
      <c r="C126" s="4" t="inlineStr">
        <is>
          <t>Funny</t>
        </is>
      </c>
      <c r="D126" s="63" t="inlineStr"/>
      <c r="E126" s="4" t="inlineStr">
        <is>
          <t>Mood chip</t>
        </is>
      </c>
      <c r="F126" s="4" t="inlineStr">
        <is>
          <t>Chip</t>
        </is>
      </c>
      <c r="G126" s="4" t="inlineStr">
        <is>
          <t>Missing</t>
        </is>
      </c>
      <c r="H126" s="4" t="inlineStr"/>
      <c r="I126" s="4" t="inlineStr"/>
    </row>
    <row r="127" ht="31" customHeight="1">
      <c r="A127" s="17" t="inlineStr">
        <is>
          <t>mood_magical</t>
        </is>
      </c>
      <c r="B127" s="4" t="inlineStr">
        <is>
          <t>feature:create · strings.xml</t>
        </is>
      </c>
      <c r="C127" s="4" t="inlineStr">
        <is>
          <t>Magical</t>
        </is>
      </c>
      <c r="D127" s="63" t="inlineStr"/>
      <c r="E127" s="4" t="inlineStr">
        <is>
          <t>Mood chip</t>
        </is>
      </c>
      <c r="F127" s="4" t="inlineStr">
        <is>
          <t>Chip</t>
        </is>
      </c>
      <c r="G127" s="4" t="inlineStr">
        <is>
          <t>Missing</t>
        </is>
      </c>
      <c r="H127" s="4" t="inlineStr"/>
      <c r="I127" s="4" t="inlineStr"/>
    </row>
    <row r="128" ht="31" customHeight="1">
      <c r="A128" s="17" t="inlineStr">
        <is>
          <t>mood_adventurous</t>
        </is>
      </c>
      <c r="B128" s="4" t="inlineStr">
        <is>
          <t>feature:create · strings.xml</t>
        </is>
      </c>
      <c r="C128" s="4" t="inlineStr">
        <is>
          <t>Adventurous</t>
        </is>
      </c>
      <c r="D128" s="63" t="inlineStr"/>
      <c r="E128" s="4" t="inlineStr">
        <is>
          <t>Mood chip</t>
        </is>
      </c>
      <c r="F128" s="4" t="inlineStr">
        <is>
          <t>Chip</t>
        </is>
      </c>
      <c r="G128" s="4" t="inlineStr">
        <is>
          <t>Missing</t>
        </is>
      </c>
      <c r="H128" s="4" t="inlineStr"/>
      <c r="I128" s="4" t="inlineStr"/>
    </row>
    <row r="129" ht="31" customHeight="1">
      <c r="A129" s="17" t="inlineStr">
        <is>
          <t>create_duration</t>
        </is>
      </c>
      <c r="B129" s="4" t="inlineStr">
        <is>
          <t>feature:create · strings.xml</t>
        </is>
      </c>
      <c r="C129" s="4" t="inlineStr">
        <is>
          <t>Duration</t>
        </is>
      </c>
      <c r="D129" s="63" t="inlineStr"/>
      <c r="E129" s="4" t="inlineStr">
        <is>
          <t>Field label</t>
        </is>
      </c>
      <c r="F129" s="4" t="inlineStr">
        <is>
          <t>Label</t>
        </is>
      </c>
      <c r="G129" s="4" t="inlineStr">
        <is>
          <t>Missing</t>
        </is>
      </c>
      <c r="H129" s="4" t="inlineStr"/>
      <c r="I129" s="4" t="inlineStr"/>
    </row>
    <row r="130" ht="18" customHeight="1">
      <c r="A130" s="17" t="inlineStr">
        <is>
          <t>duration_minutes_long</t>
        </is>
      </c>
      <c r="B130" s="4" t="inlineStr">
        <is>
          <t>core:ui · strings.xml</t>
        </is>
      </c>
      <c r="C130" s="4" t="inlineStr">
        <is>
          <t>%1$d minutes</t>
        </is>
      </c>
      <c r="D130" s="63" t="inlineStr"/>
      <c r="E130" s="4" t="inlineStr">
        <is>
          <t>Duration chip / sleep timer</t>
        </is>
      </c>
      <c r="F130" s="4" t="inlineStr">
        <is>
          <t>Plural</t>
        </is>
      </c>
      <c r="G130" s="4" t="inlineStr">
        <is>
          <t>Missing</t>
        </is>
      </c>
      <c r="H130" s="4" t="inlineStr"/>
      <c r="I130" s="4" t="inlineStr"/>
    </row>
    <row r="131" ht="31" customHeight="1">
      <c r="A131" s="17" t="inlineStr">
        <is>
          <t>create_story_language</t>
        </is>
      </c>
      <c r="B131" s="4" t="inlineStr">
        <is>
          <t>feature:create · strings.xml</t>
        </is>
      </c>
      <c r="C131" s="4" t="inlineStr">
        <is>
          <t>Story language</t>
        </is>
      </c>
      <c r="D131" s="63" t="inlineStr"/>
      <c r="E131" s="4" t="inlineStr">
        <is>
          <t>Field label</t>
        </is>
      </c>
      <c r="F131" s="4" t="inlineStr">
        <is>
          <t>Label</t>
        </is>
      </c>
      <c r="G131" s="4" t="inlineStr">
        <is>
          <t>Missing</t>
        </is>
      </c>
      <c r="H131" s="4" t="inlineStr"/>
      <c r="I131" s="4" t="inlineStr"/>
    </row>
    <row r="132" ht="31" customHeight="1">
      <c r="A132" s="17" t="inlineStr">
        <is>
          <t>create_safety_title</t>
        </is>
      </c>
      <c r="B132" s="4" t="inlineStr">
        <is>
          <t>feature:create · strings.xml</t>
        </is>
      </c>
      <c r="C132" s="4" t="inlineStr">
        <is>
          <t>Made safely, just for your family</t>
        </is>
      </c>
      <c r="D132" s="63" t="inlineStr"/>
      <c r="E132" s="4" t="inlineStr">
        <is>
          <t>Safety note</t>
        </is>
      </c>
      <c r="F132" s="4" t="inlineStr">
        <is>
          <t>Bold line</t>
        </is>
      </c>
      <c r="G132" s="4" t="inlineStr">
        <is>
          <t>Missing</t>
        </is>
      </c>
      <c r="H132" s="4" t="inlineStr"/>
      <c r="I132" s="4" t="inlineStr"/>
    </row>
    <row r="133" ht="31" customHeight="1">
      <c r="A133" s="17" t="inlineStr">
        <is>
          <t>create_safety_body</t>
        </is>
      </c>
      <c r="B133" s="4" t="inlineStr">
        <is>
          <t>feature:create · strings.xml</t>
        </is>
      </c>
      <c r="C133" s="4" t="inlineStr">
        <is>
          <t>Your story details stay private and are never shared publicly.</t>
        </is>
      </c>
      <c r="D133" s="63" t="inlineStr"/>
      <c r="E133" s="4" t="inlineStr">
        <is>
          <t>Safety note</t>
        </is>
      </c>
      <c r="F133" s="4" t="inlineStr">
        <is>
          <t>Body</t>
        </is>
      </c>
      <c r="G133" s="4" t="inlineStr">
        <is>
          <t>Missing</t>
        </is>
      </c>
      <c r="H133" s="4" t="inlineStr"/>
      <c r="I133" s="4" t="inlineStr"/>
    </row>
    <row r="134" ht="31" customHeight="1">
      <c r="A134" s="17" t="inlineStr">
        <is>
          <t>create_submit</t>
        </is>
      </c>
      <c r="B134" s="4" t="inlineStr">
        <is>
          <t>feature:create · strings.xml</t>
        </is>
      </c>
      <c r="C134" s="4" t="inlineStr">
        <is>
          <t>Create My Story</t>
        </is>
      </c>
      <c r="D134" s="63" t="inlineStr"/>
      <c r="E134" s="4" t="inlineStr">
        <is>
          <t>Primary CTA (✦ is decorative)</t>
        </is>
      </c>
      <c r="F134" s="4" t="inlineStr">
        <is>
          <t>Button</t>
        </is>
      </c>
      <c r="G134" s="4" t="inlineStr">
        <is>
          <t>Missing</t>
        </is>
      </c>
      <c r="H134" s="4" t="inlineStr"/>
      <c r="I134" s="4" t="inlineStr"/>
    </row>
    <row r="135" ht="31" customHeight="1">
      <c r="A135" s="17" t="inlineStr">
        <is>
          <t>create_error_empty</t>
        </is>
      </c>
      <c r="B135" s="4" t="inlineStr">
        <is>
          <t>feature:create · strings.xml</t>
        </is>
      </c>
      <c r="C135" s="4" t="inlineStr">
        <is>
          <t>Tell us one little moment to begin the story.</t>
        </is>
      </c>
      <c r="D135" s="63" t="inlineStr"/>
      <c r="E135" s="4" t="inlineStr">
        <is>
          <t>Validation banner</t>
        </is>
      </c>
      <c r="F135" s="4" t="inlineStr">
        <is>
          <t>Error</t>
        </is>
      </c>
      <c r="G135" s="4" t="inlineStr">
        <is>
          <t>Missing</t>
        </is>
      </c>
      <c r="H135" s="4" t="inlineStr"/>
      <c r="I135" s="4" t="inlineStr"/>
    </row>
    <row r="136" ht="31" customHeight="1">
      <c r="A136" s="17" t="inlineStr">
        <is>
          <t>gen_eyebrow</t>
        </is>
      </c>
      <c r="B136" s="4" t="inlineStr">
        <is>
          <t>feature:create · strings.xml</t>
        </is>
      </c>
      <c r="C136" s="4" t="inlineStr">
        <is>
          <t>A story for %1$s</t>
        </is>
      </c>
      <c r="D136" s="63" t="inlineStr"/>
      <c r="E136" s="4" t="inlineStr">
        <is>
          <t>Generating (uppercased)</t>
        </is>
      </c>
      <c r="F136" s="4" t="inlineStr">
        <is>
          <t>Format</t>
        </is>
      </c>
      <c r="G136" s="4" t="inlineStr">
        <is>
          <t>Missing</t>
        </is>
      </c>
      <c r="H136" s="4" t="inlineStr"/>
      <c r="I136" s="4" t="inlineStr"/>
    </row>
    <row r="137" ht="31" customHeight="1">
      <c r="A137" s="17" t="inlineStr">
        <is>
          <t>gen_title</t>
        </is>
      </c>
      <c r="B137" s="4" t="inlineStr">
        <is>
          <t>feature:create · strings.xml</t>
        </is>
      </c>
      <c r="C137" s="4" t="inlineStr">
        <is>
          <t>Creating your little adventure…</t>
        </is>
      </c>
      <c r="D137" s="63" t="inlineStr"/>
      <c r="E137" s="4" t="inlineStr">
        <is>
          <t>Generating</t>
        </is>
      </c>
      <c r="F137" s="4" t="inlineStr">
        <is>
          <t>Title</t>
        </is>
      </c>
      <c r="G137" s="4" t="inlineStr">
        <is>
          <t>Missing</t>
        </is>
      </c>
      <c r="H137" s="4" t="inlineStr"/>
      <c r="I137" s="4" t="inlineStr"/>
    </row>
    <row r="138" ht="31" customHeight="1">
      <c r="A138" s="17" t="inlineStr">
        <is>
          <t>gen_body</t>
        </is>
      </c>
      <c r="B138" s="4" t="inlineStr">
        <is>
          <t>feature:create · strings.xml</t>
        </is>
      </c>
      <c r="C138" s="4" t="inlineStr">
        <is>
          <t>We’re weaving today’s moments into something wonderful.</t>
        </is>
      </c>
      <c r="D138" s="63" t="inlineStr"/>
      <c r="E138" s="4" t="inlineStr">
        <is>
          <t>Generating</t>
        </is>
      </c>
      <c r="F138" s="4" t="inlineStr">
        <is>
          <t>Body</t>
        </is>
      </c>
      <c r="G138" s="4" t="inlineStr">
        <is>
          <t>Missing</t>
        </is>
      </c>
      <c r="H138" s="4" t="inlineStr"/>
      <c r="I138" s="4" t="inlineStr"/>
    </row>
    <row r="139" ht="31" customHeight="1">
      <c r="A139" s="17" t="inlineStr">
        <is>
          <t>gen_progress_percent</t>
        </is>
      </c>
      <c r="B139" s="4" t="inlineStr">
        <is>
          <t>feature:create · strings.xml</t>
        </is>
      </c>
      <c r="C139" s="4" t="inlineStr">
        <is>
          <t>%1$d%%</t>
        </is>
      </c>
      <c r="D139" s="63" t="inlineStr"/>
      <c r="E139" s="4" t="inlineStr">
        <is>
          <t>Progress</t>
        </is>
      </c>
      <c r="F139" s="4" t="inlineStr">
        <is>
          <t>Format</t>
        </is>
      </c>
      <c r="G139" s="4" t="inlineStr">
        <is>
          <t>Missing</t>
        </is>
      </c>
      <c r="H139" s="4" t="inlineStr"/>
      <c r="I139" s="4" t="inlineStr"/>
    </row>
    <row r="140" ht="31" customHeight="1">
      <c r="A140" s="17" t="inlineStr">
        <is>
          <t>gen_stage_imagining</t>
        </is>
      </c>
      <c r="B140" s="4" t="inlineStr">
        <is>
          <t>feature:create · strings.xml</t>
        </is>
      </c>
      <c r="C140" s="4" t="inlineStr">
        <is>
          <t>Imagining the adventure</t>
        </is>
      </c>
      <c r="D140" s="63" t="inlineStr"/>
      <c r="E140" s="4" t="inlineStr">
        <is>
          <t>Stage 1</t>
        </is>
      </c>
      <c r="F140" s="4" t="inlineStr">
        <is>
          <t>Single line</t>
        </is>
      </c>
      <c r="G140" s="4" t="inlineStr">
        <is>
          <t>Missing</t>
        </is>
      </c>
      <c r="H140" s="4" t="inlineStr"/>
      <c r="I140" s="4" t="inlineStr"/>
    </row>
    <row r="141" ht="31" customHeight="1">
      <c r="A141" s="17" t="inlineStr">
        <is>
          <t>gen_stage_writing</t>
        </is>
      </c>
      <c r="B141" s="4" t="inlineStr">
        <is>
          <t>feature:create · strings.xml</t>
        </is>
      </c>
      <c r="C141" s="4" t="inlineStr">
        <is>
          <t>Writing the story</t>
        </is>
      </c>
      <c r="D141" s="63" t="inlineStr"/>
      <c r="E141" s="4" t="inlineStr">
        <is>
          <t>Stage 2</t>
        </is>
      </c>
      <c r="F141" s="4" t="inlineStr">
        <is>
          <t>Single line</t>
        </is>
      </c>
      <c r="G141" s="4" t="inlineStr">
        <is>
          <t>Missing</t>
        </is>
      </c>
      <c r="H141" s="4" t="inlineStr"/>
      <c r="I141" s="4" t="inlineStr"/>
    </row>
    <row r="142" ht="31" customHeight="1">
      <c r="A142" s="17" t="inlineStr">
        <is>
          <t>gen_stage_narration</t>
        </is>
      </c>
      <c r="B142" s="4" t="inlineStr">
        <is>
          <t>feature:create · strings.xml</t>
        </is>
      </c>
      <c r="C142" s="4" t="inlineStr">
        <is>
          <t>Preparing the narration</t>
        </is>
      </c>
      <c r="D142" s="63" t="inlineStr"/>
      <c r="E142" s="4" t="inlineStr">
        <is>
          <t>Stage 3</t>
        </is>
      </c>
      <c r="F142" s="4" t="inlineStr">
        <is>
          <t>Single line</t>
        </is>
      </c>
      <c r="G142" s="4" t="inlineStr">
        <is>
          <t>Missing</t>
        </is>
      </c>
      <c r="H142" s="4" t="inlineStr"/>
      <c r="I142" s="4" t="inlineStr"/>
    </row>
    <row r="143" ht="31" customHeight="1">
      <c r="A143" s="17" t="inlineStr">
        <is>
          <t>gen_footnote</t>
        </is>
      </c>
      <c r="B143" s="4" t="inlineStr">
        <is>
          <t>feature:create · strings.xml</t>
        </is>
      </c>
      <c r="C143" s="4" t="inlineStr">
        <is>
          <t>This usually takes less than a minute.</t>
        </is>
      </c>
      <c r="D143" s="63" t="inlineStr"/>
      <c r="E143" s="4" t="inlineStr">
        <is>
          <t>Generating</t>
        </is>
      </c>
      <c r="F143" s="4" t="inlineStr">
        <is>
          <t>Small</t>
        </is>
      </c>
      <c r="G143" s="4" t="inlineStr">
        <is>
          <t>Missing</t>
        </is>
      </c>
      <c r="H143" s="4" t="inlineStr"/>
      <c r="I143" s="4" t="inlineStr"/>
    </row>
    <row r="144" ht="31" customHeight="1">
      <c r="A144" s="17" t="inlineStr">
        <is>
          <t>gen_cancel_cd</t>
        </is>
      </c>
      <c r="B144" s="4" t="inlineStr">
        <is>
          <t>feature:create · strings.xml</t>
        </is>
      </c>
      <c r="C144" s="4" t="inlineStr">
        <is>
          <t>Stop creating the story</t>
        </is>
      </c>
      <c r="D144" s="63" t="inlineStr"/>
      <c r="E144" s="4" t="inlineStr">
        <is>
          <t>Close button</t>
        </is>
      </c>
      <c r="F144" s="4" t="inlineStr">
        <is>
          <t>A11y</t>
        </is>
      </c>
      <c r="G144" s="4" t="inlineStr">
        <is>
          <t>Missing</t>
        </is>
      </c>
      <c r="H144" s="4" t="inlineStr"/>
      <c r="I144" s="4" t="inlineStr"/>
    </row>
    <row r="145" ht="31" customHeight="1">
      <c r="A145" s="17" t="inlineStr">
        <is>
          <t>gen_paused_title</t>
        </is>
      </c>
      <c r="B145" s="4" t="inlineStr">
        <is>
          <t>feature:create · strings.xml</t>
        </is>
      </c>
      <c r="C145" s="4" t="inlineStr">
        <is>
          <t>Story creation paused</t>
        </is>
      </c>
      <c r="D145" s="63" t="inlineStr"/>
      <c r="E145" s="4" t="inlineStr">
        <is>
          <t>Paused state</t>
        </is>
      </c>
      <c r="F145" s="4" t="inlineStr">
        <is>
          <t>Title</t>
        </is>
      </c>
      <c r="G145" s="4" t="inlineStr">
        <is>
          <t>Missing</t>
        </is>
      </c>
      <c r="H145" s="4" t="inlineStr"/>
      <c r="I145" s="4" t="inlineStr"/>
    </row>
    <row r="146" ht="31" customHeight="1">
      <c r="A146" s="17" t="inlineStr">
        <is>
          <t>gen_paused_body</t>
        </is>
      </c>
      <c r="B146" s="4" t="inlineStr">
        <is>
          <t>feature:create · strings.xml</t>
        </is>
      </c>
      <c r="C146" s="4" t="inlineStr">
        <is>
          <t>Your idea is still here. Continue whenever you’re ready.</t>
        </is>
      </c>
      <c r="D146" s="63" t="inlineStr"/>
      <c r="E146" s="4" t="inlineStr">
        <is>
          <t>Paused state</t>
        </is>
      </c>
      <c r="F146" s="4" t="inlineStr">
        <is>
          <t>Body</t>
        </is>
      </c>
      <c r="G146" s="4" t="inlineStr">
        <is>
          <t>Missing</t>
        </is>
      </c>
      <c r="H146" s="4" t="inlineStr"/>
      <c r="I146" s="4" t="inlineStr"/>
    </row>
    <row r="147" ht="31" customHeight="1">
      <c r="A147" s="17" t="inlineStr">
        <is>
          <t>gen_back_to_idea</t>
        </is>
      </c>
      <c r="B147" s="4" t="inlineStr">
        <is>
          <t>feature:create · strings.xml</t>
        </is>
      </c>
      <c r="C147" s="4" t="inlineStr">
        <is>
          <t>Back to your idea</t>
        </is>
      </c>
      <c r="D147" s="63" t="inlineStr"/>
      <c r="E147" s="4" t="inlineStr">
        <is>
          <t>Paused state</t>
        </is>
      </c>
      <c r="F147" s="4" t="inlineStr">
        <is>
          <t>Button</t>
        </is>
      </c>
      <c r="G147" s="4" t="inlineStr">
        <is>
          <t>Missing</t>
        </is>
      </c>
      <c r="H147" s="4" t="inlineStr"/>
      <c r="I147" s="4" t="inlineStr"/>
    </row>
    <row r="148" ht="31" customHeight="1">
      <c r="A148" s="17" t="inlineStr">
        <is>
          <t>ready_ribbon</t>
        </is>
      </c>
      <c r="B148" s="4" t="inlineStr">
        <is>
          <t>feature:create · strings.xml</t>
        </is>
      </c>
      <c r="C148" s="4" t="inlineStr">
        <is>
          <t>Your story is ready</t>
        </is>
      </c>
      <c r="D148" s="63" t="inlineStr"/>
      <c r="E148" s="4" t="inlineStr">
        <is>
          <t>Success ribbon</t>
        </is>
      </c>
      <c r="F148" s="4" t="inlineStr">
        <is>
          <t>Single line</t>
        </is>
      </c>
      <c r="G148" s="4" t="inlineStr">
        <is>
          <t>Missing</t>
        </is>
      </c>
      <c r="H148" s="4" t="inlineStr"/>
      <c r="I148" s="4" t="inlineStr"/>
    </row>
    <row r="149" ht="31" customHeight="1">
      <c r="A149" s="17" t="inlineStr">
        <is>
          <t>ready_made_for</t>
        </is>
      </c>
      <c r="B149" s="4" t="inlineStr">
        <is>
          <t>feature:create · strings.xml</t>
        </is>
      </c>
      <c r="C149" s="4" t="inlineStr">
        <is>
          <t>Made for %1$s</t>
        </is>
      </c>
      <c r="D149" s="63" t="inlineStr"/>
      <c r="E149" s="4" t="inlineStr">
        <is>
          <t>Cover badge</t>
        </is>
      </c>
      <c r="F149" s="4" t="inlineStr">
        <is>
          <t>Format</t>
        </is>
      </c>
      <c r="G149" s="4" t="inlineStr">
        <is>
          <t>Missing</t>
        </is>
      </c>
      <c r="H149" s="4" t="inlineStr"/>
      <c r="I149" s="4" t="inlineStr"/>
    </row>
    <row r="150" ht="31" customHeight="1">
      <c r="A150" s="17" t="inlineStr">
        <is>
          <t>ready_eyebrow</t>
        </is>
      </c>
      <c r="B150" s="4" t="inlineStr">
        <is>
          <t>feature:create · strings.xml</t>
        </is>
      </c>
      <c r="C150" s="4" t="inlineStr">
        <is>
          <t>A magical adventure</t>
        </is>
      </c>
      <c r="D150" s="63" t="inlineStr"/>
      <c r="E150" s="4" t="inlineStr">
        <is>
          <t>Eyebrow (uppercased)</t>
        </is>
      </c>
      <c r="F150" s="4" t="inlineStr">
        <is>
          <t>Single line</t>
        </is>
      </c>
      <c r="G150" s="4" t="inlineStr">
        <is>
          <t>Missing</t>
        </is>
      </c>
      <c r="H150" s="4" t="inlineStr"/>
      <c r="I150" s="4" t="inlineStr"/>
    </row>
    <row r="151" ht="31" customHeight="1">
      <c r="A151" s="17" t="inlineStr">
        <is>
          <t>ready_peek_title</t>
        </is>
      </c>
      <c r="B151" s="4" t="inlineStr">
        <is>
          <t>feature:create · strings.xml</t>
        </is>
      </c>
      <c r="C151" s="4" t="inlineStr">
        <is>
          <t>A little peek inside</t>
        </is>
      </c>
      <c r="D151" s="63" t="inlineStr"/>
      <c r="E151" s="4" t="inlineStr">
        <is>
          <t>Pull quote</t>
        </is>
      </c>
      <c r="F151" s="4" t="inlineStr">
        <is>
          <t>Label</t>
        </is>
      </c>
      <c r="G151" s="4" t="inlineStr">
        <is>
          <t>Missing</t>
        </is>
      </c>
      <c r="H151" s="4" t="inlineStr"/>
      <c r="I151" s="4" t="inlineStr"/>
    </row>
    <row r="152" ht="31" customHeight="1">
      <c r="A152" s="17" t="inlineStr">
        <is>
          <t>ready_listen_now</t>
        </is>
      </c>
      <c r="B152" s="4" t="inlineStr">
        <is>
          <t>feature:create · strings.xml</t>
        </is>
      </c>
      <c r="C152" s="4" t="inlineStr">
        <is>
          <t>Listen Now</t>
        </is>
      </c>
      <c r="D152" s="63" t="inlineStr"/>
      <c r="E152" s="4" t="inlineStr">
        <is>
          <t>CTA</t>
        </is>
      </c>
      <c r="F152" s="4" t="inlineStr">
        <is>
          <t>Button</t>
        </is>
      </c>
      <c r="G152" s="4" t="inlineStr">
        <is>
          <t>Missing</t>
        </is>
      </c>
      <c r="H152" s="4" t="inlineStr"/>
      <c r="I152" s="4" t="inlineStr"/>
    </row>
    <row r="153" ht="31" customHeight="1">
      <c r="A153" s="17" t="inlineStr">
        <is>
          <t>ready_saved_title</t>
        </is>
      </c>
      <c r="B153" s="4" t="inlineStr">
        <is>
          <t>feature:create · strings.xml</t>
        </is>
      </c>
      <c r="C153" s="4" t="inlineStr">
        <is>
          <t>Saved to My Stories</t>
        </is>
      </c>
      <c r="D153" s="63" t="inlineStr"/>
      <c r="E153" s="4" t="inlineStr">
        <is>
          <t>Row</t>
        </is>
      </c>
      <c r="F153" s="4" t="inlineStr">
        <is>
          <t>Bold</t>
        </is>
      </c>
      <c r="G153" s="4" t="inlineStr">
        <is>
          <t>Missing</t>
        </is>
      </c>
      <c r="H153" s="4" t="inlineStr"/>
      <c r="I153" s="4" t="inlineStr"/>
    </row>
    <row r="154" ht="31" customHeight="1">
      <c r="A154" s="17" t="inlineStr">
        <is>
          <t>ready_saved_body</t>
        </is>
      </c>
      <c r="B154" s="4" t="inlineStr">
        <is>
          <t>feature:create · strings.xml</t>
        </is>
      </c>
      <c r="C154" s="4" t="inlineStr">
        <is>
          <t>Find it anytime in Created by Me</t>
        </is>
      </c>
      <c r="D154" s="63" t="inlineStr"/>
      <c r="E154" s="4" t="inlineStr">
        <is>
          <t>Row</t>
        </is>
      </c>
      <c r="F154" s="4" t="inlineStr">
        <is>
          <t>Small</t>
        </is>
      </c>
      <c r="G154" s="4" t="inlineStr">
        <is>
          <t>Missing</t>
        </is>
      </c>
      <c r="H154" s="4" t="inlineStr"/>
      <c r="I154" s="4" t="inlineStr"/>
    </row>
    <row r="155" ht="31" customHeight="1">
      <c r="A155" s="17" t="inlineStr">
        <is>
          <t>reader_title</t>
        </is>
      </c>
      <c r="B155" s="4" t="inlineStr">
        <is>
          <t>feature:reader · strings.xml</t>
        </is>
      </c>
      <c r="C155" s="4" t="inlineStr">
        <is>
          <t>Reading</t>
        </is>
      </c>
      <c r="D155" s="63" t="inlineStr"/>
      <c r="E155" s="4" t="inlineStr">
        <is>
          <t>Top bar</t>
        </is>
      </c>
      <c r="F155" s="4" t="inlineStr">
        <is>
          <t>Title</t>
        </is>
      </c>
      <c r="G155" s="4" t="inlineStr">
        <is>
          <t>Missing</t>
        </is>
      </c>
      <c r="H155" s="4" t="inlineStr"/>
      <c r="I155" s="4" t="inlineStr"/>
    </row>
    <row r="156" ht="31" customHeight="1">
      <c r="A156" s="17" t="inlineStr">
        <is>
          <t>reader_page_of</t>
        </is>
      </c>
      <c r="B156" s="4" t="inlineStr">
        <is>
          <t>feature:reader · strings.xml</t>
        </is>
      </c>
      <c r="C156" s="4" t="inlineStr">
        <is>
          <t>%1$d of %2$d</t>
        </is>
      </c>
      <c r="D156" s="63" t="inlineStr"/>
      <c r="E156" s="4" t="inlineStr">
        <is>
          <t>Page indicator</t>
        </is>
      </c>
      <c r="F156" s="4" t="inlineStr">
        <is>
          <t>Format</t>
        </is>
      </c>
      <c r="G156" s="4" t="inlineStr">
        <is>
          <t>Missing</t>
        </is>
      </c>
      <c r="H156" s="4" t="inlineStr"/>
      <c r="I156" s="4" t="inlineStr"/>
    </row>
    <row r="157" ht="31" customHeight="1">
      <c r="A157" s="17" t="inlineStr">
        <is>
          <t>reader_text_smaller_cd</t>
        </is>
      </c>
      <c r="B157" s="4" t="inlineStr">
        <is>
          <t>feature:reader · strings.xml</t>
        </is>
      </c>
      <c r="C157" s="4" t="inlineStr">
        <is>
          <t>Decrease text size</t>
        </is>
      </c>
      <c r="D157" s="63" t="inlineStr"/>
      <c r="E157" s="4" t="inlineStr">
        <is>
          <t>A− button</t>
        </is>
      </c>
      <c r="F157" s="4" t="inlineStr">
        <is>
          <t>A11y</t>
        </is>
      </c>
      <c r="G157" s="4" t="inlineStr">
        <is>
          <t>Missing</t>
        </is>
      </c>
      <c r="H157" s="4" t="inlineStr"/>
      <c r="I157" s="4" t="inlineStr"/>
    </row>
    <row r="158" ht="31" customHeight="1">
      <c r="A158" s="17" t="inlineStr">
        <is>
          <t>reader_text_larger_cd</t>
        </is>
      </c>
      <c r="B158" s="4" t="inlineStr">
        <is>
          <t>feature:reader · strings.xml</t>
        </is>
      </c>
      <c r="C158" s="4" t="inlineStr">
        <is>
          <t>Increase text size</t>
        </is>
      </c>
      <c r="D158" s="63" t="inlineStr"/>
      <c r="E158" s="4" t="inlineStr">
        <is>
          <t>A+ button</t>
        </is>
      </c>
      <c r="F158" s="4" t="inlineStr">
        <is>
          <t>A11y</t>
        </is>
      </c>
      <c r="G158" s="4" t="inlineStr">
        <is>
          <t>Missing</t>
        </is>
      </c>
      <c r="H158" s="4" t="inlineStr"/>
      <c r="I158" s="4" t="inlineStr"/>
    </row>
    <row r="159" ht="31" customHeight="1">
      <c r="A159" s="17" t="inlineStr">
        <is>
          <t>reader_previous</t>
        </is>
      </c>
      <c r="B159" s="4" t="inlineStr">
        <is>
          <t>feature:reader · strings.xml</t>
        </is>
      </c>
      <c r="C159" s="4" t="inlineStr">
        <is>
          <t>Previous</t>
        </is>
      </c>
      <c r="D159" s="63" t="inlineStr"/>
      <c r="E159" s="4" t="inlineStr">
        <is>
          <t>Bottom bar</t>
        </is>
      </c>
      <c r="F159" s="4" t="inlineStr">
        <is>
          <t>Button</t>
        </is>
      </c>
      <c r="G159" s="4" t="inlineStr">
        <is>
          <t>Missing</t>
        </is>
      </c>
      <c r="H159" s="4" t="inlineStr"/>
      <c r="I159" s="4" t="inlineStr"/>
    </row>
    <row r="160" ht="31" customHeight="1">
      <c r="A160" s="17" t="inlineStr">
        <is>
          <t>reader_next</t>
        </is>
      </c>
      <c r="B160" s="4" t="inlineStr">
        <is>
          <t>feature:reader · strings.xml</t>
        </is>
      </c>
      <c r="C160" s="4" t="inlineStr">
        <is>
          <t>Next</t>
        </is>
      </c>
      <c r="D160" s="63" t="inlineStr"/>
      <c r="E160" s="4" t="inlineStr">
        <is>
          <t>Bottom bar</t>
        </is>
      </c>
      <c r="F160" s="4" t="inlineStr">
        <is>
          <t>Button</t>
        </is>
      </c>
      <c r="G160" s="4" t="inlineStr">
        <is>
          <t>Missing</t>
        </is>
      </c>
      <c r="H160" s="4" t="inlineStr"/>
      <c r="I160" s="4" t="inlineStr"/>
    </row>
    <row r="161" ht="31" customHeight="1">
      <c r="A161" s="17" t="inlineStr">
        <is>
          <t>reader_play_narration_cd</t>
        </is>
      </c>
      <c r="B161" s="4" t="inlineStr">
        <is>
          <t>feature:reader · strings.xml</t>
        </is>
      </c>
      <c r="C161" s="4" t="inlineStr">
        <is>
          <t>Play narration</t>
        </is>
      </c>
      <c r="D161" s="63" t="inlineStr"/>
      <c r="E161" s="4" t="inlineStr">
        <is>
          <t>Play button</t>
        </is>
      </c>
      <c r="F161" s="4" t="inlineStr">
        <is>
          <t>A11y</t>
        </is>
      </c>
      <c r="G161" s="4" t="inlineStr">
        <is>
          <t>Missing</t>
        </is>
      </c>
      <c r="H161" s="4" t="inlineStr"/>
      <c r="I161" s="4" t="inlineStr"/>
    </row>
    <row r="162" ht="31" customHeight="1">
      <c r="A162" s="17" t="inlineStr">
        <is>
          <t>player_story_text</t>
        </is>
      </c>
      <c r="B162" s="4" t="inlineStr">
        <is>
          <t>feature:reader · strings.xml</t>
        </is>
      </c>
      <c r="C162" s="4" t="inlineStr">
        <is>
          <t>Story text</t>
        </is>
      </c>
      <c r="D162" s="63" t="inlineStr"/>
      <c r="E162" s="4" t="inlineStr">
        <is>
          <t>Top link</t>
        </is>
      </c>
      <c r="F162" s="4" t="inlineStr">
        <is>
          <t>Short</t>
        </is>
      </c>
      <c r="G162" s="4" t="inlineStr">
        <is>
          <t>Missing</t>
        </is>
      </c>
      <c r="H162" s="4" t="inlineStr"/>
      <c r="I162" s="4" t="inlineStr"/>
    </row>
    <row r="163" ht="31" customHeight="1">
      <c r="A163" s="17" t="inlineStr">
        <is>
          <t>player_now_playing_for</t>
        </is>
      </c>
      <c r="B163" s="4" t="inlineStr">
        <is>
          <t>feature:reader · strings.xml</t>
        </is>
      </c>
      <c r="C163" s="4" t="inlineStr">
        <is>
          <t>Now playing for %1$s</t>
        </is>
      </c>
      <c r="D163" s="63" t="inlineStr"/>
      <c r="E163" s="4" t="inlineStr">
        <is>
          <t>Label (uppercased)</t>
        </is>
      </c>
      <c r="F163" s="4" t="inlineStr">
        <is>
          <t>Format</t>
        </is>
      </c>
      <c r="G163" s="4" t="inlineStr">
        <is>
          <t>Missing</t>
        </is>
      </c>
      <c r="H163" s="4" t="inlineStr"/>
      <c r="I163" s="4" t="inlineStr"/>
    </row>
    <row r="164" ht="31" customHeight="1">
      <c r="A164" s="17" t="inlineStr">
        <is>
          <t>player_language_narrator</t>
        </is>
      </c>
      <c r="B164" s="4" t="inlineStr">
        <is>
          <t>feature:reader · strings.xml</t>
        </is>
      </c>
      <c r="C164" s="4" t="inlineStr">
        <is>
          <t>%1$s · Narrated by %2$s</t>
        </is>
      </c>
      <c r="D164" s="63" t="inlineStr"/>
      <c r="E164" s="4" t="inlineStr">
        <is>
          <t>Subtitle</t>
        </is>
      </c>
      <c r="F164" s="4" t="inlineStr">
        <is>
          <t>Format</t>
        </is>
      </c>
      <c r="G164" s="4" t="inlineStr">
        <is>
          <t>Missing</t>
        </is>
      </c>
      <c r="H164" s="4" t="inlineStr"/>
      <c r="I164" s="4" t="inlineStr"/>
    </row>
    <row r="165" ht="31" customHeight="1">
      <c r="A165" s="17" t="inlineStr">
        <is>
          <t>player_simulated_note</t>
        </is>
      </c>
      <c r="B165" s="4" t="inlineStr">
        <is>
          <t>feature:reader · strings.xml</t>
        </is>
      </c>
      <c r="C165" s="4" t="inlineStr">
        <is>
          <t>Sample narration (preview)</t>
        </is>
      </c>
      <c r="D165" s="63" t="inlineStr"/>
      <c r="E165" s="4" t="inlineStr">
        <is>
          <t>Simulation label – NEW, not in design</t>
        </is>
      </c>
      <c r="F165" s="4" t="inlineStr">
        <is>
          <t>Short; wording TBD</t>
        </is>
      </c>
      <c r="G165" s="4" t="inlineStr">
        <is>
          <t>Missing</t>
        </is>
      </c>
      <c r="H165" s="4" t="inlineStr"/>
      <c r="I165" s="4" t="inlineStr"/>
    </row>
    <row r="166" ht="31" customHeight="1">
      <c r="A166" s="17" t="inlineStr">
        <is>
          <t>player_play_cd</t>
        </is>
      </c>
      <c r="B166" s="4" t="inlineStr">
        <is>
          <t>feature:reader · strings.xml</t>
        </is>
      </c>
      <c r="C166" s="4" t="inlineStr">
        <is>
          <t>Play</t>
        </is>
      </c>
      <c r="D166" s="63" t="inlineStr"/>
      <c r="E166" s="4" t="inlineStr">
        <is>
          <t>Main button</t>
        </is>
      </c>
      <c r="F166" s="4" t="inlineStr">
        <is>
          <t>A11y</t>
        </is>
      </c>
      <c r="G166" s="4" t="inlineStr">
        <is>
          <t>Missing</t>
        </is>
      </c>
      <c r="H166" s="4" t="inlineStr"/>
      <c r="I166" s="4" t="inlineStr"/>
    </row>
    <row r="167" ht="31" customHeight="1">
      <c r="A167" s="17" t="inlineStr">
        <is>
          <t>player_pause_cd</t>
        </is>
      </c>
      <c r="B167" s="4" t="inlineStr">
        <is>
          <t>feature:reader · strings.xml</t>
        </is>
      </c>
      <c r="C167" s="4" t="inlineStr">
        <is>
          <t>Pause</t>
        </is>
      </c>
      <c r="D167" s="63" t="inlineStr"/>
      <c r="E167" s="4" t="inlineStr">
        <is>
          <t>Main button</t>
        </is>
      </c>
      <c r="F167" s="4" t="inlineStr">
        <is>
          <t>A11y</t>
        </is>
      </c>
      <c r="G167" s="4" t="inlineStr">
        <is>
          <t>Missing</t>
        </is>
      </c>
      <c r="H167" s="4" t="inlineStr"/>
      <c r="I167" s="4" t="inlineStr"/>
    </row>
    <row r="168" ht="31" customHeight="1">
      <c r="A168" s="17" t="inlineStr">
        <is>
          <t>player_rewind_cd</t>
        </is>
      </c>
      <c r="B168" s="4" t="inlineStr">
        <is>
          <t>feature:reader · strings.xml</t>
        </is>
      </c>
      <c r="C168" s="4" t="inlineStr">
        <is>
          <t>Rewind 15 seconds</t>
        </is>
      </c>
      <c r="D168" s="63" t="inlineStr"/>
      <c r="E168" s="4" t="inlineStr">
        <is>
          <t>Control</t>
        </is>
      </c>
      <c r="F168" s="4" t="inlineStr">
        <is>
          <t>A11y</t>
        </is>
      </c>
      <c r="G168" s="4" t="inlineStr">
        <is>
          <t>Missing</t>
        </is>
      </c>
      <c r="H168" s="4" t="inlineStr"/>
      <c r="I168" s="4" t="inlineStr"/>
    </row>
    <row r="169" ht="31" customHeight="1">
      <c r="A169" s="17" t="inlineStr">
        <is>
          <t>player_forward_cd</t>
        </is>
      </c>
      <c r="B169" s="4" t="inlineStr">
        <is>
          <t>feature:reader · strings.xml</t>
        </is>
      </c>
      <c r="C169" s="4" t="inlineStr">
        <is>
          <t>Forward 15 seconds</t>
        </is>
      </c>
      <c r="D169" s="63" t="inlineStr"/>
      <c r="E169" s="4" t="inlineStr">
        <is>
          <t>Control</t>
        </is>
      </c>
      <c r="F169" s="4" t="inlineStr">
        <is>
          <t>A11y</t>
        </is>
      </c>
      <c r="G169" s="4" t="inlineStr">
        <is>
          <t>Missing</t>
        </is>
      </c>
      <c r="H169" s="4" t="inlineStr"/>
      <c r="I169" s="4" t="inlineStr"/>
    </row>
    <row r="170" ht="31" customHeight="1">
      <c r="A170" s="17" t="inlineStr">
        <is>
          <t>player_prev_chapter_cd</t>
        </is>
      </c>
      <c r="B170" s="4" t="inlineStr">
        <is>
          <t>feature:reader · strings.xml</t>
        </is>
      </c>
      <c r="C170" s="4" t="inlineStr">
        <is>
          <t>Previous chapter</t>
        </is>
      </c>
      <c r="D170" s="63" t="inlineStr"/>
      <c r="E170" s="4" t="inlineStr">
        <is>
          <t>Control</t>
        </is>
      </c>
      <c r="F170" s="4" t="inlineStr">
        <is>
          <t>A11y</t>
        </is>
      </c>
      <c r="G170" s="4" t="inlineStr">
        <is>
          <t>Missing</t>
        </is>
      </c>
      <c r="H170" s="4" t="inlineStr"/>
      <c r="I170" s="4" t="inlineStr"/>
    </row>
    <row r="171" ht="31" customHeight="1">
      <c r="A171" s="17" t="inlineStr">
        <is>
          <t>player_next_chapter_cd</t>
        </is>
      </c>
      <c r="B171" s="4" t="inlineStr">
        <is>
          <t>feature:reader · strings.xml</t>
        </is>
      </c>
      <c r="C171" s="4" t="inlineStr">
        <is>
          <t>Next chapter</t>
        </is>
      </c>
      <c r="D171" s="63" t="inlineStr"/>
      <c r="E171" s="4" t="inlineStr">
        <is>
          <t>Control</t>
        </is>
      </c>
      <c r="F171" s="4" t="inlineStr">
        <is>
          <t>A11y</t>
        </is>
      </c>
      <c r="G171" s="4" t="inlineStr">
        <is>
          <t>Missing</t>
        </is>
      </c>
      <c r="H171" s="4" t="inlineStr"/>
      <c r="I171" s="4" t="inlineStr"/>
    </row>
    <row r="172" ht="31" customHeight="1">
      <c r="A172" s="17" t="inlineStr">
        <is>
          <t>player_progress_cd</t>
        </is>
      </c>
      <c r="B172" s="4" t="inlineStr">
        <is>
          <t>feature:reader · strings.xml</t>
        </is>
      </c>
      <c r="C172" s="4" t="inlineStr">
        <is>
          <t>Playback progress</t>
        </is>
      </c>
      <c r="D172" s="63" t="inlineStr"/>
      <c r="E172" s="4" t="inlineStr">
        <is>
          <t>Slider</t>
        </is>
      </c>
      <c r="F172" s="4" t="inlineStr">
        <is>
          <t>A11y</t>
        </is>
      </c>
      <c r="G172" s="4" t="inlineStr">
        <is>
          <t>Missing</t>
        </is>
      </c>
      <c r="H172" s="4" t="inlineStr"/>
      <c r="I172" s="4" t="inlineStr"/>
    </row>
    <row r="173" ht="31" customHeight="1">
      <c r="A173" s="17" t="inlineStr">
        <is>
          <t>player_volume_cd</t>
        </is>
      </c>
      <c r="B173" s="4" t="inlineStr">
        <is>
          <t>feature:reader · strings.xml</t>
        </is>
      </c>
      <c r="C173" s="4" t="inlineStr">
        <is>
          <t>Volume</t>
        </is>
      </c>
      <c r="D173" s="63" t="inlineStr"/>
      <c r="E173" s="4" t="inlineStr">
        <is>
          <t>Slider</t>
        </is>
      </c>
      <c r="F173" s="4" t="inlineStr">
        <is>
          <t>A11y</t>
        </is>
      </c>
      <c r="G173" s="4" t="inlineStr">
        <is>
          <t>Missing</t>
        </is>
      </c>
      <c r="H173" s="4" t="inlineStr"/>
      <c r="I173" s="4" t="inlineStr"/>
    </row>
    <row r="174" ht="31" customHeight="1">
      <c r="A174" s="17" t="inlineStr">
        <is>
          <t>player_sleep_timer</t>
        </is>
      </c>
      <c r="B174" s="4" t="inlineStr">
        <is>
          <t>feature:reader · strings.xml</t>
        </is>
      </c>
      <c r="C174" s="4" t="inlineStr">
        <is>
          <t>Sleep timer</t>
        </is>
      </c>
      <c r="D174" s="63" t="inlineStr"/>
      <c r="E174" s="4" t="inlineStr">
        <is>
          <t>Secondary control / sheet title</t>
        </is>
      </c>
      <c r="F174" s="4" t="inlineStr">
        <is>
          <t>Short</t>
        </is>
      </c>
      <c r="G174" s="4" t="inlineStr">
        <is>
          <t>Missing</t>
        </is>
      </c>
      <c r="H174" s="4" t="inlineStr"/>
      <c r="I174" s="4" t="inlineStr"/>
    </row>
    <row r="175" ht="31" customHeight="1">
      <c r="A175" s="17" t="inlineStr">
        <is>
          <t>player_speed</t>
        </is>
      </c>
      <c r="B175" s="4" t="inlineStr">
        <is>
          <t>feature:reader · strings.xml</t>
        </is>
      </c>
      <c r="C175" s="4" t="inlineStr">
        <is>
          <t>Speed</t>
        </is>
      </c>
      <c r="D175" s="63" t="inlineStr"/>
      <c r="E175" s="4" t="inlineStr">
        <is>
          <t>Secondary control</t>
        </is>
      </c>
      <c r="F175" s="4" t="inlineStr">
        <is>
          <t>Short</t>
        </is>
      </c>
      <c r="G175" s="4" t="inlineStr">
        <is>
          <t>Missing</t>
        </is>
      </c>
      <c r="H175" s="4" t="inlineStr"/>
      <c r="I175" s="4" t="inlineStr"/>
    </row>
    <row r="176" ht="31" customHeight="1">
      <c r="A176" s="17" t="inlineStr">
        <is>
          <t>player_speed_value</t>
        </is>
      </c>
      <c r="B176" s="4" t="inlineStr">
        <is>
          <t>feature:reader · strings.xml</t>
        </is>
      </c>
      <c r="C176" s="4" t="inlineStr">
        <is>
          <t>%1$s×</t>
        </is>
      </c>
      <c r="D176" s="63" t="inlineStr"/>
      <c r="E176" s="4" t="inlineStr">
        <is>
          <t>Speed value</t>
        </is>
      </c>
      <c r="F176" s="4" t="inlineStr">
        <is>
          <t>Format</t>
        </is>
      </c>
      <c r="G176" s="4" t="inlineStr">
        <is>
          <t>Missing</t>
        </is>
      </c>
      <c r="H176" s="4" t="inlineStr"/>
      <c r="I176" s="4" t="inlineStr"/>
    </row>
    <row r="177" ht="31" customHeight="1">
      <c r="A177" s="17" t="inlineStr">
        <is>
          <t>sleep_timer_body</t>
        </is>
      </c>
      <c r="B177" s="4" t="inlineStr">
        <is>
          <t>feature:reader · strings.xml</t>
        </is>
      </c>
      <c r="C177" s="4" t="inlineStr">
        <is>
          <t>Audio will gently stop when the timer ends.</t>
        </is>
      </c>
      <c r="D177" s="63" t="inlineStr"/>
      <c r="E177" s="4" t="inlineStr">
        <is>
          <t>Sheet</t>
        </is>
      </c>
      <c r="F177" s="4" t="inlineStr">
        <is>
          <t>Body</t>
        </is>
      </c>
      <c r="G177" s="4" t="inlineStr">
        <is>
          <t>Missing</t>
        </is>
      </c>
      <c r="H177" s="4" t="inlineStr"/>
      <c r="I177" s="4" t="inlineStr"/>
    </row>
    <row r="178" ht="31" customHeight="1">
      <c r="A178" s="17" t="inlineStr">
        <is>
          <t>sleep_timer_end_of_story</t>
        </is>
      </c>
      <c r="B178" s="4" t="inlineStr">
        <is>
          <t>feature:reader · strings.xml</t>
        </is>
      </c>
      <c r="C178" s="4" t="inlineStr">
        <is>
          <t>End of story</t>
        </is>
      </c>
      <c r="D178" s="63" t="inlineStr"/>
      <c r="E178" s="4" t="inlineStr">
        <is>
          <t>Sheet option</t>
        </is>
      </c>
      <c r="F178" s="4" t="inlineStr">
        <is>
          <t>Option</t>
        </is>
      </c>
      <c r="G178" s="4" t="inlineStr">
        <is>
          <t>Missing</t>
        </is>
      </c>
      <c r="H178" s="4" t="inlineStr"/>
      <c r="I178" s="4" t="inlineStr"/>
    </row>
    <row r="179" ht="31" customHeight="1">
      <c r="A179" s="17" t="inlineStr">
        <is>
          <t>library_title</t>
        </is>
      </c>
      <c r="B179" s="4" t="inlineStr">
        <is>
          <t>feature:library · strings.xml</t>
        </is>
      </c>
      <c r="C179" s="4" t="inlineStr">
        <is>
          <t>My Stories</t>
        </is>
      </c>
      <c r="D179" s="63" t="inlineStr"/>
      <c r="E179" s="4" t="inlineStr">
        <is>
          <t>Top bar</t>
        </is>
      </c>
      <c r="F179" s="4" t="inlineStr">
        <is>
          <t>Title</t>
        </is>
      </c>
      <c r="G179" s="4" t="inlineStr">
        <is>
          <t>Missing</t>
        </is>
      </c>
      <c r="H179" s="4" t="inlineStr"/>
      <c r="I179" s="4" t="inlineStr"/>
    </row>
    <row r="180" ht="31" customHeight="1">
      <c r="A180" s="17" t="inlineStr">
        <is>
          <t>library_search_hint</t>
        </is>
      </c>
      <c r="B180" s="4" t="inlineStr">
        <is>
          <t>feature:library · strings.xml</t>
        </is>
      </c>
      <c r="C180" s="4" t="inlineStr">
        <is>
          <t>Search your stories</t>
        </is>
      </c>
      <c r="D180" s="63" t="inlineStr"/>
      <c r="E180" s="4" t="inlineStr">
        <is>
          <t>Search</t>
        </is>
      </c>
      <c r="F180" s="4" t="inlineStr">
        <is>
          <t>Single line</t>
        </is>
      </c>
      <c r="G180" s="4" t="inlineStr">
        <is>
          <t>Missing</t>
        </is>
      </c>
      <c r="H180" s="4" t="inlineStr"/>
      <c r="I180" s="4" t="inlineStr"/>
    </row>
    <row r="181" ht="31" customHeight="1">
      <c r="A181" s="17" t="inlineStr">
        <is>
          <t>library_tab_all</t>
        </is>
      </c>
      <c r="B181" s="4" t="inlineStr">
        <is>
          <t>feature:library · strings.xml</t>
        </is>
      </c>
      <c r="C181" s="4" t="inlineStr">
        <is>
          <t>All</t>
        </is>
      </c>
      <c r="D181" s="63" t="inlineStr"/>
      <c r="E181" s="4" t="inlineStr">
        <is>
          <t>Tab</t>
        </is>
      </c>
      <c r="F181" s="4" t="inlineStr">
        <is>
          <t>Tab</t>
        </is>
      </c>
      <c r="G181" s="4" t="inlineStr">
        <is>
          <t>Missing</t>
        </is>
      </c>
      <c r="H181" s="4" t="inlineStr"/>
      <c r="I181" s="4" t="inlineStr"/>
    </row>
    <row r="182" ht="31" customHeight="1">
      <c r="A182" s="17" t="inlineStr">
        <is>
          <t>library_tab_created</t>
        </is>
      </c>
      <c r="B182" s="4" t="inlineStr">
        <is>
          <t>feature:library · strings.xml</t>
        </is>
      </c>
      <c r="C182" s="4" t="inlineStr">
        <is>
          <t>Created by Me</t>
        </is>
      </c>
      <c r="D182" s="63" t="inlineStr"/>
      <c r="E182" s="4" t="inlineStr">
        <is>
          <t>Tab</t>
        </is>
      </c>
      <c r="F182" s="4" t="inlineStr">
        <is>
          <t>Tab – may scroll</t>
        </is>
      </c>
      <c r="G182" s="4" t="inlineStr">
        <is>
          <t>Missing</t>
        </is>
      </c>
      <c r="H182" s="4" t="inlineStr"/>
      <c r="I182" s="4" t="inlineStr"/>
    </row>
    <row r="183" ht="31" customHeight="1">
      <c r="A183" s="17" t="inlineStr">
        <is>
          <t>library_tab_downloaded</t>
        </is>
      </c>
      <c r="B183" s="4" t="inlineStr">
        <is>
          <t>feature:library · strings.xml</t>
        </is>
      </c>
      <c r="C183" s="4" t="inlineStr">
        <is>
          <t>Downloaded</t>
        </is>
      </c>
      <c r="D183" s="63" t="inlineStr"/>
      <c r="E183" s="4" t="inlineStr">
        <is>
          <t>Tab</t>
        </is>
      </c>
      <c r="F183" s="4" t="inlineStr">
        <is>
          <t>Tab</t>
        </is>
      </c>
      <c r="G183" s="4" t="inlineStr">
        <is>
          <t>Missing</t>
        </is>
      </c>
      <c r="H183" s="4" t="inlineStr"/>
      <c r="I183" s="4" t="inlineStr"/>
    </row>
    <row r="184" ht="31" customHeight="1">
      <c r="A184" s="17" t="inlineStr">
        <is>
          <t>library_tab_favourites</t>
        </is>
      </c>
      <c r="B184" s="4" t="inlineStr">
        <is>
          <t>feature:library · strings.xml</t>
        </is>
      </c>
      <c r="C184" s="4" t="inlineStr">
        <is>
          <t>Favourites</t>
        </is>
      </c>
      <c r="D184" s="63" t="inlineStr"/>
      <c r="E184" s="4" t="inlineStr">
        <is>
          <t>Tab</t>
        </is>
      </c>
      <c r="F184" s="4" t="inlineStr">
        <is>
          <t>Tab</t>
        </is>
      </c>
      <c r="G184" s="4" t="inlineStr">
        <is>
          <t>Missing</t>
        </is>
      </c>
      <c r="H184" s="4" t="inlineStr"/>
      <c r="I184" s="4" t="inlineStr"/>
    </row>
    <row r="185" ht="31" customHeight="1">
      <c r="A185" s="17" t="inlineStr">
        <is>
          <t>library_recently_played</t>
        </is>
      </c>
      <c r="B185" s="4" t="inlineStr">
        <is>
          <t>feature:library · strings.xml</t>
        </is>
      </c>
      <c r="C185" s="4" t="inlineStr">
        <is>
          <t>Recently played</t>
        </is>
      </c>
      <c r="D185" s="63" t="inlineStr"/>
      <c r="E185" s="4" t="inlineStr">
        <is>
          <t>Section</t>
        </is>
      </c>
      <c r="F185" s="4" t="inlineStr">
        <is>
          <t>Heading</t>
        </is>
      </c>
      <c r="G185" s="4" t="inlineStr">
        <is>
          <t>Missing</t>
        </is>
      </c>
      <c r="H185" s="4" t="inlineStr"/>
      <c r="I185" s="4" t="inlineStr"/>
    </row>
    <row r="186" ht="31" customHeight="1">
      <c r="A186" s="17" t="inlineStr">
        <is>
          <t>library_remaining</t>
        </is>
      </c>
      <c r="B186" s="4" t="inlineStr">
        <is>
          <t>feature:library · strings.xml</t>
        </is>
      </c>
      <c r="C186" s="4" t="inlineStr">
        <is>
          <t>%1$s remaining</t>
        </is>
      </c>
      <c r="D186" s="63" t="inlineStr"/>
      <c r="E186" s="4" t="inlineStr">
        <is>
          <t>Recently played</t>
        </is>
      </c>
      <c r="F186" s="4" t="inlineStr">
        <is>
          <t>Format</t>
        </is>
      </c>
      <c r="G186" s="4" t="inlineStr">
        <is>
          <t>Missing</t>
        </is>
      </c>
      <c r="H186" s="4" t="inlineStr"/>
      <c r="I186" s="4" t="inlineStr"/>
    </row>
    <row r="187" ht="31" customHeight="1">
      <c r="A187" s="17" t="inlineStr">
        <is>
          <t>library_collection</t>
        </is>
      </c>
      <c r="B187" s="4" t="inlineStr">
        <is>
          <t>feature:library · strings.xml</t>
        </is>
      </c>
      <c r="C187" s="4" t="inlineStr">
        <is>
          <t>Your collection</t>
        </is>
      </c>
      <c r="D187" s="63" t="inlineStr"/>
      <c r="E187" s="4" t="inlineStr">
        <is>
          <t>Section</t>
        </is>
      </c>
      <c r="F187" s="4" t="inlineStr">
        <is>
          <t>Heading</t>
        </is>
      </c>
      <c r="G187" s="4" t="inlineStr">
        <is>
          <t>Missing</t>
        </is>
      </c>
      <c r="H187" s="4" t="inlineStr"/>
      <c r="I187" s="4" t="inlineStr"/>
    </row>
    <row r="188" ht="31" customHeight="1">
      <c r="A188" s="17" t="inlineStr">
        <is>
          <t>library_meta</t>
        </is>
      </c>
      <c r="B188" s="4" t="inlineStr">
        <is>
          <t>feature:library · strings.xml</t>
        </is>
      </c>
      <c r="C188" s="4" t="inlineStr">
        <is>
          <t>%1$d min · %2$s years</t>
        </is>
      </c>
      <c r="D188" s="63" t="inlineStr"/>
      <c r="E188" s="4" t="inlineStr">
        <is>
          <t>Row meta</t>
        </is>
      </c>
      <c r="F188" s="4" t="inlineStr">
        <is>
          <t>Format</t>
        </is>
      </c>
      <c r="G188" s="4" t="inlineStr">
        <is>
          <t>Missing</t>
        </is>
      </c>
      <c r="H188" s="4" t="inlineStr"/>
      <c r="I188" s="4" t="inlineStr"/>
    </row>
    <row r="189" ht="31" customHeight="1">
      <c r="A189" s="17" t="inlineStr">
        <is>
          <t>library_empty_downloaded_title</t>
        </is>
      </c>
      <c r="B189" s="4" t="inlineStr">
        <is>
          <t>feature:library · strings.xml</t>
        </is>
      </c>
      <c r="C189" s="4" t="inlineStr">
        <is>
          <t>Ready for offline adventures?</t>
        </is>
      </c>
      <c r="D189" s="63" t="inlineStr"/>
      <c r="E189" s="4" t="inlineStr">
        <is>
          <t>Empty state</t>
        </is>
      </c>
      <c r="F189" s="4" t="inlineStr">
        <is>
          <t>Heading</t>
        </is>
      </c>
      <c r="G189" s="4" t="inlineStr">
        <is>
          <t>Missing</t>
        </is>
      </c>
      <c r="H189" s="4" t="inlineStr"/>
      <c r="I189" s="4" t="inlineStr"/>
    </row>
    <row r="190" ht="31" customHeight="1">
      <c r="A190" s="17" t="inlineStr">
        <is>
          <t>library_empty_downloaded_body</t>
        </is>
      </c>
      <c r="B190" s="4" t="inlineStr">
        <is>
          <t>feature:library · strings.xml</t>
        </is>
      </c>
      <c r="C190" s="4" t="inlineStr">
        <is>
          <t>Download a story and bedtime can travel anywhere.</t>
        </is>
      </c>
      <c r="D190" s="63" t="inlineStr"/>
      <c r="E190" s="4" t="inlineStr">
        <is>
          <t>Empty state</t>
        </is>
      </c>
      <c r="F190" s="4" t="inlineStr">
        <is>
          <t>Body</t>
        </is>
      </c>
      <c r="G190" s="4" t="inlineStr">
        <is>
          <t>Missing</t>
        </is>
      </c>
      <c r="H190" s="4" t="inlineStr"/>
      <c r="I190" s="4" t="inlineStr"/>
    </row>
    <row r="191" ht="31" customHeight="1">
      <c r="A191" s="17" t="inlineStr">
        <is>
          <t>library_empty_title</t>
        </is>
      </c>
      <c r="B191" s="4" t="inlineStr">
        <is>
          <t>feature:library · strings.xml</t>
        </is>
      </c>
      <c r="C191" s="4" t="inlineStr">
        <is>
          <t>No stories here yet</t>
        </is>
      </c>
      <c r="D191" s="63" t="inlineStr"/>
      <c r="E191" s="4" t="inlineStr">
        <is>
          <t>Empty state</t>
        </is>
      </c>
      <c r="F191" s="4" t="inlineStr">
        <is>
          <t>Heading</t>
        </is>
      </c>
      <c r="G191" s="4" t="inlineStr">
        <is>
          <t>Missing</t>
        </is>
      </c>
      <c r="H191" s="4" t="inlineStr"/>
      <c r="I191" s="4" t="inlineStr"/>
    </row>
    <row r="192" ht="31" customHeight="1">
      <c r="A192" s="17" t="inlineStr">
        <is>
          <t>library_empty_body</t>
        </is>
      </c>
      <c r="B192" s="4" t="inlineStr">
        <is>
          <t>feature:library · strings.xml</t>
        </is>
      </c>
      <c r="C192" s="4" t="inlineStr">
        <is>
          <t>Tap the heart on a story you love to keep it close.</t>
        </is>
      </c>
      <c r="D192" s="63" t="inlineStr"/>
      <c r="E192" s="4" t="inlineStr">
        <is>
          <t>Empty state</t>
        </is>
      </c>
      <c r="F192" s="4" t="inlineStr">
        <is>
          <t>Body</t>
        </is>
      </c>
      <c r="G192" s="4" t="inlineStr">
        <is>
          <t>Missing</t>
        </is>
      </c>
      <c r="H192" s="4" t="inlineStr"/>
      <c r="I192" s="4" t="inlineStr"/>
    </row>
    <row r="193" ht="31" customHeight="1">
      <c r="A193" s="17" t="inlineStr">
        <is>
          <t>library_discover_stories</t>
        </is>
      </c>
      <c r="B193" s="4" t="inlineStr">
        <is>
          <t>feature:library · strings.xml</t>
        </is>
      </c>
      <c r="C193" s="4" t="inlineStr">
        <is>
          <t>Discover stories</t>
        </is>
      </c>
      <c r="D193" s="63" t="inlineStr"/>
      <c r="E193" s="4" t="inlineStr">
        <is>
          <t>Empty CTA</t>
        </is>
      </c>
      <c r="F193" s="4" t="inlineStr">
        <is>
          <t>Button</t>
        </is>
      </c>
      <c r="G193" s="4" t="inlineStr">
        <is>
          <t>Missing</t>
        </is>
      </c>
      <c r="H193" s="4" t="inlineStr"/>
      <c r="I193" s="4" t="inlineStr"/>
    </row>
    <row r="194" ht="31" customHeight="1">
      <c r="A194" s="17" t="inlineStr">
        <is>
          <t>library_manage_downloads_cd</t>
        </is>
      </c>
      <c r="B194" s="4" t="inlineStr">
        <is>
          <t>feature:library · strings.xml</t>
        </is>
      </c>
      <c r="C194" s="4" t="inlineStr">
        <is>
          <t>Manage downloads</t>
        </is>
      </c>
      <c r="D194" s="63" t="inlineStr"/>
      <c r="E194" s="4" t="inlineStr">
        <is>
          <t>Top bar icon</t>
        </is>
      </c>
      <c r="F194" s="4" t="inlineStr">
        <is>
          <t>A11y</t>
        </is>
      </c>
      <c r="G194" s="4" t="inlineStr">
        <is>
          <t>Missing</t>
        </is>
      </c>
      <c r="H194" s="4" t="inlineStr"/>
      <c r="I194" s="4" t="inlineStr"/>
    </row>
    <row r="195" ht="31" customHeight="1">
      <c r="A195" s="17" t="inlineStr">
        <is>
          <t>library_play_story_cd</t>
        </is>
      </c>
      <c r="B195" s="4" t="inlineStr">
        <is>
          <t>feature:library · strings.xml</t>
        </is>
      </c>
      <c r="C195" s="4" t="inlineStr">
        <is>
          <t>Play story</t>
        </is>
      </c>
      <c r="D195" s="63" t="inlineStr"/>
      <c r="E195" s="4" t="inlineStr">
        <is>
          <t>Row button</t>
        </is>
      </c>
      <c r="F195" s="4" t="inlineStr">
        <is>
          <t>A11y</t>
        </is>
      </c>
      <c r="G195" s="4" t="inlineStr">
        <is>
          <t>Missing</t>
        </is>
      </c>
      <c r="H195" s="4" t="inlineStr"/>
      <c r="I195" s="4" t="inlineStr"/>
    </row>
    <row r="196" ht="31" customHeight="1">
      <c r="A196" s="17" t="inlineStr">
        <is>
          <t>settings_title</t>
        </is>
      </c>
      <c r="B196" s="4" t="inlineStr">
        <is>
          <t>feature:settings · strings.xml</t>
        </is>
      </c>
      <c r="C196" s="4" t="inlineStr">
        <is>
          <t>Profile</t>
        </is>
      </c>
      <c r="D196" s="63" t="inlineStr"/>
      <c r="E196" s="4" t="inlineStr">
        <is>
          <t>Top bar</t>
        </is>
      </c>
      <c r="F196" s="4" t="inlineStr">
        <is>
          <t>Title</t>
        </is>
      </c>
      <c r="G196" s="4" t="inlineStr">
        <is>
          <t>Missing</t>
        </is>
      </c>
      <c r="H196" s="4" t="inlineStr"/>
      <c r="I196" s="4" t="inlineStr"/>
    </row>
    <row r="197" ht="31" customHeight="1">
      <c r="A197" s="17" t="inlineStr">
        <is>
          <t>settings_account</t>
        </is>
      </c>
      <c r="B197" s="4" t="inlineStr">
        <is>
          <t>feature:settings · strings.xml</t>
        </is>
      </c>
      <c r="C197" s="4" t="inlineStr">
        <is>
          <t>Account settings</t>
        </is>
      </c>
      <c r="D197" s="63" t="inlineStr"/>
      <c r="E197" s="4" t="inlineStr">
        <is>
          <t>Parent card</t>
        </is>
      </c>
      <c r="F197" s="4" t="inlineStr">
        <is>
          <t>Link</t>
        </is>
      </c>
      <c r="G197" s="4" t="inlineStr">
        <is>
          <t>Missing</t>
        </is>
      </c>
      <c r="H197" s="4" t="inlineStr"/>
      <c r="I197" s="4" t="inlineStr"/>
    </row>
    <row r="198" ht="31" customHeight="1">
      <c r="A198" s="17" t="inlineStr">
        <is>
          <t>settings_group_children</t>
        </is>
      </c>
      <c r="B198" s="4" t="inlineStr">
        <is>
          <t>feature:settings · strings.xml</t>
        </is>
      </c>
      <c r="C198" s="4" t="inlineStr">
        <is>
          <t>Children</t>
        </is>
      </c>
      <c r="D198" s="63" t="inlineStr"/>
      <c r="E198" s="4" t="inlineStr">
        <is>
          <t>Group (uppercased)</t>
        </is>
      </c>
      <c r="F198" s="4" t="inlineStr">
        <is>
          <t>Heading</t>
        </is>
      </c>
      <c r="G198" s="4" t="inlineStr">
        <is>
          <t>Missing</t>
        </is>
      </c>
      <c r="H198" s="4" t="inlineStr"/>
      <c r="I198" s="4" t="inlineStr"/>
    </row>
    <row r="199" ht="31" customHeight="1">
      <c r="A199" s="17" t="inlineStr">
        <is>
          <t>settings_manage_children</t>
        </is>
      </c>
      <c r="B199" s="4" t="inlineStr">
        <is>
          <t>feature:settings · strings.xml</t>
        </is>
      </c>
      <c r="C199" s="4" t="inlineStr">
        <is>
          <t>Manage children</t>
        </is>
      </c>
      <c r="D199" s="63" t="inlineStr"/>
      <c r="E199" s="4" t="inlineStr">
        <is>
          <t>Row</t>
        </is>
      </c>
      <c r="F199" s="4" t="inlineStr">
        <is>
          <t>Title</t>
        </is>
      </c>
      <c r="G199" s="4" t="inlineStr">
        <is>
          <t>Missing</t>
        </is>
      </c>
      <c r="H199" s="4" t="inlineStr"/>
      <c r="I199" s="4" t="inlineStr"/>
    </row>
    <row r="200" ht="31" customHeight="1">
      <c r="A200" s="17" t="inlineStr">
        <is>
          <t>settings_children_summary</t>
        </is>
      </c>
      <c r="B200" s="4" t="inlineStr">
        <is>
          <t>feature:settings · strings.xml</t>
        </is>
      </c>
      <c r="C200" s="4" t="inlineStr">
        <is>
          <t>%1$s and %2$s</t>
        </is>
      </c>
      <c r="D200" s="63" t="inlineStr"/>
      <c r="E200" s="4" t="inlineStr">
        <is>
          <t>Row subtitle</t>
        </is>
      </c>
      <c r="F200" s="4" t="inlineStr">
        <is>
          <t>Format (list formatting for &gt;2)</t>
        </is>
      </c>
      <c r="G200" s="4" t="inlineStr">
        <is>
          <t>Missing</t>
        </is>
      </c>
      <c r="H200" s="4" t="inlineStr"/>
      <c r="I200" s="4" t="inlineStr"/>
    </row>
    <row r="201" ht="31" customHeight="1">
      <c r="A201" s="17" t="inlineStr">
        <is>
          <t>settings_language_prefs</t>
        </is>
      </c>
      <c r="B201" s="4" t="inlineStr">
        <is>
          <t>feature:settings · strings.xml</t>
        </is>
      </c>
      <c r="C201" s="4" t="inlineStr">
        <is>
          <t>Language preferences</t>
        </is>
      </c>
      <c r="D201" s="63" t="inlineStr"/>
      <c r="E201" s="4" t="inlineStr">
        <is>
          <t>Row</t>
        </is>
      </c>
      <c r="F201" s="4" t="inlineStr">
        <is>
          <t>Title</t>
        </is>
      </c>
      <c r="G201" s="4" t="inlineStr">
        <is>
          <t>Missing</t>
        </is>
      </c>
      <c r="H201" s="4" t="inlineStr"/>
      <c r="I201" s="4" t="inlineStr"/>
    </row>
    <row r="202" ht="31" customHeight="1">
      <c r="A202" s="17" t="inlineStr">
        <is>
          <t>settings_group_experience</t>
        </is>
      </c>
      <c r="B202" s="4" t="inlineStr">
        <is>
          <t>feature:settings · strings.xml</t>
        </is>
      </c>
      <c r="C202" s="4" t="inlineStr">
        <is>
          <t>Experience</t>
        </is>
      </c>
      <c r="D202" s="63" t="inlineStr"/>
      <c r="E202" s="4" t="inlineStr">
        <is>
          <t>Group (uppercased)</t>
        </is>
      </c>
      <c r="F202" s="4" t="inlineStr">
        <is>
          <t>Heading</t>
        </is>
      </c>
      <c r="G202" s="4" t="inlineStr">
        <is>
          <t>Missing</t>
        </is>
      </c>
      <c r="H202" s="4" t="inlineStr"/>
      <c r="I202" s="4" t="inlineStr"/>
    </row>
    <row r="203" ht="31" customHeight="1">
      <c r="A203" s="17" t="inlineStr">
        <is>
          <t>settings_bedtime_reminders</t>
        </is>
      </c>
      <c r="B203" s="4" t="inlineStr">
        <is>
          <t>feature:settings · strings.xml</t>
        </is>
      </c>
      <c r="C203" s="4" t="inlineStr">
        <is>
          <t>Bedtime reminders</t>
        </is>
      </c>
      <c r="D203" s="63" t="inlineStr"/>
      <c r="E203" s="4" t="inlineStr">
        <is>
          <t>Row</t>
        </is>
      </c>
      <c r="F203" s="4" t="inlineStr">
        <is>
          <t>Title</t>
        </is>
      </c>
      <c r="G203" s="4" t="inlineStr">
        <is>
          <t>Missing</t>
        </is>
      </c>
      <c r="H203" s="4" t="inlineStr"/>
      <c r="I203" s="4" t="inlineStr"/>
    </row>
    <row r="204" ht="31" customHeight="1">
      <c r="A204" s="17" t="inlineStr">
        <is>
          <t>settings_every_day_at</t>
        </is>
      </c>
      <c r="B204" s="4" t="inlineStr">
        <is>
          <t>feature:settings · strings.xml</t>
        </is>
      </c>
      <c r="C204" s="4" t="inlineStr">
        <is>
          <t>Every day at %1$s</t>
        </is>
      </c>
      <c r="D204" s="63" t="inlineStr"/>
      <c r="E204" s="4" t="inlineStr">
        <is>
          <t>Row subtitle</t>
        </is>
      </c>
      <c r="F204" s="4" t="inlineStr">
        <is>
          <t>Locale time</t>
        </is>
      </c>
      <c r="G204" s="4" t="inlineStr">
        <is>
          <t>Missing</t>
        </is>
      </c>
      <c r="H204" s="4" t="inlineStr"/>
      <c r="I204" s="4" t="inlineStr"/>
    </row>
    <row r="205" ht="31" customHeight="1">
      <c r="A205" s="17" t="inlineStr">
        <is>
          <t>settings_notifications</t>
        </is>
      </c>
      <c r="B205" s="4" t="inlineStr">
        <is>
          <t>feature:settings · strings.xml</t>
        </is>
      </c>
      <c r="C205" s="4" t="inlineStr">
        <is>
          <t>Notifications</t>
        </is>
      </c>
      <c r="D205" s="63" t="inlineStr"/>
      <c r="E205" s="4" t="inlineStr">
        <is>
          <t>Row</t>
        </is>
      </c>
      <c r="F205" s="4" t="inlineStr">
        <is>
          <t>Title</t>
        </is>
      </c>
      <c r="G205" s="4" t="inlineStr">
        <is>
          <t>Missing</t>
        </is>
      </c>
      <c r="H205" s="4" t="inlineStr"/>
      <c r="I205" s="4" t="inlineStr"/>
    </row>
    <row r="206" ht="31" customHeight="1">
      <c r="A206" s="17" t="inlineStr">
        <is>
          <t>settings_notifications_sub</t>
        </is>
      </c>
      <c r="B206" s="4" t="inlineStr">
        <is>
          <t>feature:settings · strings.xml</t>
        </is>
      </c>
      <c r="C206" s="4" t="inlineStr">
        <is>
          <t>Stories and family updates</t>
        </is>
      </c>
      <c r="D206" s="63" t="inlineStr"/>
      <c r="E206" s="4" t="inlineStr">
        <is>
          <t>Row subtitle</t>
        </is>
      </c>
      <c r="F206" s="4" t="inlineStr">
        <is>
          <t>Small</t>
        </is>
      </c>
      <c r="G206" s="4" t="inlineStr">
        <is>
          <t>Missing</t>
        </is>
      </c>
      <c r="H206" s="4" t="inlineStr"/>
      <c r="I206" s="4" t="inlineStr"/>
    </row>
    <row r="207" ht="31" customHeight="1">
      <c r="A207" s="17" t="inlineStr">
        <is>
          <t>settings_audio_prefs</t>
        </is>
      </c>
      <c r="B207" s="4" t="inlineStr">
        <is>
          <t>feature:settings · strings.xml</t>
        </is>
      </c>
      <c r="C207" s="4" t="inlineStr">
        <is>
          <t>Audio preferences</t>
        </is>
      </c>
      <c r="D207" s="63" t="inlineStr"/>
      <c r="E207" s="4" t="inlineStr">
        <is>
          <t>Row</t>
        </is>
      </c>
      <c r="F207" s="4" t="inlineStr">
        <is>
          <t>Title</t>
        </is>
      </c>
      <c r="G207" s="4" t="inlineStr">
        <is>
          <t>Missing</t>
        </is>
      </c>
      <c r="H207" s="4" t="inlineStr"/>
      <c r="I207" s="4" t="inlineStr"/>
    </row>
    <row r="208" ht="31" customHeight="1">
      <c r="A208" s="17" t="inlineStr">
        <is>
          <t>settings_audio_sub</t>
        </is>
      </c>
      <c r="B208" s="4" t="inlineStr">
        <is>
          <t>feature:settings · strings.xml</t>
        </is>
      </c>
      <c r="C208" s="4" t="inlineStr">
        <is>
          <t>%1$s · %2$s speed</t>
        </is>
      </c>
      <c r="D208" s="63" t="inlineStr"/>
      <c r="E208" s="4" t="inlineStr">
        <is>
          <t>Row subtitle</t>
        </is>
      </c>
      <c r="F208" s="4" t="inlineStr">
        <is>
          <t>Format</t>
        </is>
      </c>
      <c r="G208" s="4" t="inlineStr">
        <is>
          <t>Missing</t>
        </is>
      </c>
      <c r="H208" s="4" t="inlineStr"/>
      <c r="I208" s="4" t="inlineStr"/>
    </row>
    <row r="209" ht="31" customHeight="1">
      <c r="A209" s="17" t="inlineStr">
        <is>
          <t>settings_normal_speed</t>
        </is>
      </c>
      <c r="B209" s="4" t="inlineStr">
        <is>
          <t>feature:settings · strings.xml</t>
        </is>
      </c>
      <c r="C209" s="4" t="inlineStr">
        <is>
          <t>Normal</t>
        </is>
      </c>
      <c r="D209" s="63" t="inlineStr"/>
      <c r="E209" s="4" t="inlineStr">
        <is>
          <t>Speed name</t>
        </is>
      </c>
      <c r="F209" s="4" t="inlineStr">
        <is>
          <t>Short</t>
        </is>
      </c>
      <c r="G209" s="4" t="inlineStr">
        <is>
          <t>Missing</t>
        </is>
      </c>
      <c r="H209" s="4" t="inlineStr"/>
      <c r="I209" s="4" t="inlineStr"/>
    </row>
    <row r="210" ht="31" customHeight="1">
      <c r="A210" s="17" t="inlineStr">
        <is>
          <t>settings_download_settings</t>
        </is>
      </c>
      <c r="B210" s="4" t="inlineStr">
        <is>
          <t>feature:settings · strings.xml</t>
        </is>
      </c>
      <c r="C210" s="4" t="inlineStr">
        <is>
          <t>Download settings</t>
        </is>
      </c>
      <c r="D210" s="63" t="inlineStr"/>
      <c r="E210" s="4" t="inlineStr">
        <is>
          <t>Row</t>
        </is>
      </c>
      <c r="F210" s="4" t="inlineStr">
        <is>
          <t>Title</t>
        </is>
      </c>
      <c r="G210" s="4" t="inlineStr">
        <is>
          <t>Missing</t>
        </is>
      </c>
      <c r="H210" s="4" t="inlineStr"/>
      <c r="I210" s="4" t="inlineStr"/>
    </row>
    <row r="211" ht="31" customHeight="1">
      <c r="A211" s="17" t="inlineStr">
        <is>
          <t>settings_wifi_only</t>
        </is>
      </c>
      <c r="B211" s="4" t="inlineStr">
        <is>
          <t>feature:settings · strings.xml</t>
        </is>
      </c>
      <c r="C211" s="4" t="inlineStr">
        <is>
          <t>Wi-Fi only</t>
        </is>
      </c>
      <c r="D211" s="63" t="inlineStr"/>
      <c r="E211" s="4" t="inlineStr">
        <is>
          <t>Row subtitle</t>
        </is>
      </c>
      <c r="F211" s="4" t="inlineStr">
        <is>
          <t>Small</t>
        </is>
      </c>
      <c r="G211" s="4" t="inlineStr">
        <is>
          <t>Missing</t>
        </is>
      </c>
      <c r="H211" s="4" t="inlineStr"/>
      <c r="I211" s="4" t="inlineStr"/>
    </row>
    <row r="212" ht="31" customHeight="1">
      <c r="A212" s="17" t="inlineStr">
        <is>
          <t>settings_group_app</t>
        </is>
      </c>
      <c r="B212" s="4" t="inlineStr">
        <is>
          <t>feature:settings · strings.xml</t>
        </is>
      </c>
      <c r="C212" s="4" t="inlineStr">
        <is>
          <t>LittleStory</t>
        </is>
      </c>
      <c r="D212" s="63" t="inlineStr"/>
      <c r="E212" s="4" t="inlineStr">
        <is>
          <t>Group (uppercased)</t>
        </is>
      </c>
      <c r="F212" s="4" t="inlineStr">
        <is>
          <t>Brand</t>
        </is>
      </c>
      <c r="G212" s="4" t="inlineStr">
        <is>
          <t>Missing</t>
        </is>
      </c>
      <c r="H212" s="4" t="inlineStr"/>
      <c r="I212" s="4" t="inlineStr"/>
    </row>
    <row r="213" ht="31" customHeight="1">
      <c r="A213" s="17" t="inlineStr">
        <is>
          <t>settings_subscription</t>
        </is>
      </c>
      <c r="B213" s="4" t="inlineStr">
        <is>
          <t>feature:settings · strings.xml</t>
        </is>
      </c>
      <c r="C213" s="4" t="inlineStr">
        <is>
          <t>Subscription</t>
        </is>
      </c>
      <c r="D213" s="63" t="inlineStr"/>
      <c r="E213" s="4" t="inlineStr">
        <is>
          <t>Row</t>
        </is>
      </c>
      <c r="F213" s="4" t="inlineStr">
        <is>
          <t>Title</t>
        </is>
      </c>
      <c r="G213" s="4" t="inlineStr">
        <is>
          <t>Missing</t>
        </is>
      </c>
      <c r="H213" s="4" t="inlineStr"/>
      <c r="I213" s="4" t="inlineStr"/>
    </row>
    <row r="214" ht="31" customHeight="1">
      <c r="A214" s="17" t="inlineStr">
        <is>
          <t>settings_free_plan</t>
        </is>
      </c>
      <c r="B214" s="4" t="inlineStr">
        <is>
          <t>feature:settings · strings.xml</t>
        </is>
      </c>
      <c r="C214" s="4" t="inlineStr">
        <is>
          <t>Free plan</t>
        </is>
      </c>
      <c r="D214" s="63" t="inlineStr"/>
      <c r="E214" s="4" t="inlineStr">
        <is>
          <t>Row subtitle</t>
        </is>
      </c>
      <c r="F214" s="4" t="inlineStr">
        <is>
          <t>Small</t>
        </is>
      </c>
      <c r="G214" s="4" t="inlineStr">
        <is>
          <t>Missing</t>
        </is>
      </c>
      <c r="H214" s="4" t="inlineStr"/>
      <c r="I214" s="4" t="inlineStr"/>
    </row>
    <row r="215" ht="31" customHeight="1">
      <c r="A215" s="17" t="inlineStr">
        <is>
          <t>settings_privacy</t>
        </is>
      </c>
      <c r="B215" s="4" t="inlineStr">
        <is>
          <t>feature:settings · strings.xml</t>
        </is>
      </c>
      <c r="C215" s="4" t="inlineStr">
        <is>
          <t>Privacy &amp; parent controls</t>
        </is>
      </c>
      <c r="D215" s="63" t="inlineStr"/>
      <c r="E215" s="4" t="inlineStr">
        <is>
          <t>Row</t>
        </is>
      </c>
      <c r="F215" s="4" t="inlineStr">
        <is>
          <t>Title</t>
        </is>
      </c>
      <c r="G215" s="4" t="inlineStr">
        <is>
          <t>Missing</t>
        </is>
      </c>
      <c r="H215" s="4" t="inlineStr"/>
      <c r="I215" s="4" t="inlineStr"/>
    </row>
    <row r="216" ht="31" customHeight="1">
      <c r="A216" s="17" t="inlineStr">
        <is>
          <t>settings_privacy_sub</t>
        </is>
      </c>
      <c r="B216" s="4" t="inlineStr">
        <is>
          <t>feature:settings · strings.xml</t>
        </is>
      </c>
      <c r="C216" s="4" t="inlineStr">
        <is>
          <t>Your family’s data and safety</t>
        </is>
      </c>
      <c r="D216" s="63" t="inlineStr"/>
      <c r="E216" s="4" t="inlineStr">
        <is>
          <t>Row subtitle</t>
        </is>
      </c>
      <c r="F216" s="4" t="inlineStr">
        <is>
          <t>Small</t>
        </is>
      </c>
      <c r="G216" s="4" t="inlineStr">
        <is>
          <t>Missing</t>
        </is>
      </c>
      <c r="H216" s="4" t="inlineStr"/>
      <c r="I216" s="4" t="inlineStr"/>
    </row>
    <row r="217" ht="31" customHeight="1">
      <c r="A217" s="17" t="inlineStr">
        <is>
          <t>settings_help</t>
        </is>
      </c>
      <c r="B217" s="4" t="inlineStr">
        <is>
          <t>feature:settings · strings.xml</t>
        </is>
      </c>
      <c r="C217" s="4" t="inlineStr">
        <is>
          <t>Help &amp; about</t>
        </is>
      </c>
      <c r="D217" s="63" t="inlineStr"/>
      <c r="E217" s="4" t="inlineStr">
        <is>
          <t>Row</t>
        </is>
      </c>
      <c r="F217" s="4" t="inlineStr">
        <is>
          <t>Title</t>
        </is>
      </c>
      <c r="G217" s="4" t="inlineStr">
        <is>
          <t>Missing</t>
        </is>
      </c>
      <c r="H217" s="4" t="inlineStr"/>
      <c r="I217" s="4" t="inlineStr"/>
    </row>
    <row r="218" ht="31" customHeight="1">
      <c r="A218" s="17" t="inlineStr">
        <is>
          <t>settings_version</t>
        </is>
      </c>
      <c r="B218" s="4" t="inlineStr">
        <is>
          <t>feature:settings · strings.xml</t>
        </is>
      </c>
      <c r="C218" s="4" t="inlineStr">
        <is>
          <t>Version %1$s</t>
        </is>
      </c>
      <c r="D218" s="63" t="inlineStr"/>
      <c r="E218" s="4" t="inlineStr">
        <is>
          <t>Row subtitle</t>
        </is>
      </c>
      <c r="F218" s="4" t="inlineStr">
        <is>
          <t>Format</t>
        </is>
      </c>
      <c r="G218" s="4" t="inlineStr">
        <is>
          <t>Missing</t>
        </is>
      </c>
      <c r="H218" s="4" t="inlineStr"/>
      <c r="I218" s="4" t="inlineStr"/>
    </row>
    <row r="219" ht="31" customHeight="1">
      <c r="A219" s="17" t="inlineStr">
        <is>
          <t>settings_footer</t>
        </is>
      </c>
      <c r="B219" s="4" t="inlineStr">
        <is>
          <t>feature:settings · strings.xml</t>
        </is>
      </c>
      <c r="C219" s="4" t="inlineStr">
        <is>
          <t>Stories created with care. Profiles are private and parent-managed.</t>
        </is>
      </c>
      <c r="D219" s="63" t="inlineStr"/>
      <c r="E219" s="4" t="inlineStr">
        <is>
          <t>Footer</t>
        </is>
      </c>
      <c r="F219" s="4" t="inlineStr">
        <is>
          <t>Body</t>
        </is>
      </c>
      <c r="G219" s="4" t="inlineStr">
        <is>
          <t>Missing</t>
        </is>
      </c>
      <c r="H219" s="4" t="inlineStr"/>
      <c r="I219" s="4" t="inlineStr"/>
    </row>
    <row r="220" ht="31" customHeight="1">
      <c r="A220" s="17" t="inlineStr">
        <is>
          <t>profiles_title</t>
        </is>
      </c>
      <c r="B220" s="4" t="inlineStr">
        <is>
          <t>feature:settings · strings.xml</t>
        </is>
      </c>
      <c r="C220" s="4" t="inlineStr">
        <is>
          <t>Child Profiles</t>
        </is>
      </c>
      <c r="D220" s="63" t="inlineStr"/>
      <c r="E220" s="4" t="inlineStr">
        <is>
          <t>Top bar</t>
        </is>
      </c>
      <c r="F220" s="4" t="inlineStr">
        <is>
          <t>Title</t>
        </is>
      </c>
      <c r="G220" s="4" t="inlineStr">
        <is>
          <t>Missing</t>
        </is>
      </c>
      <c r="H220" s="4" t="inlineStr"/>
      <c r="I220" s="4" t="inlineStr"/>
    </row>
    <row r="221" ht="31" customHeight="1">
      <c r="A221" s="17" t="inlineStr">
        <is>
          <t>profiles_add_child</t>
        </is>
      </c>
      <c r="B221" s="4" t="inlineStr">
        <is>
          <t>feature:settings · strings.xml</t>
        </is>
      </c>
      <c r="C221" s="4" t="inlineStr">
        <is>
          <t>Add child</t>
        </is>
      </c>
      <c r="D221" s="63" t="inlineStr"/>
      <c r="E221" s="4" t="inlineStr">
        <is>
          <t>Top bar action</t>
        </is>
      </c>
      <c r="F221" s="4" t="inlineStr">
        <is>
          <t>Short</t>
        </is>
      </c>
      <c r="G221" s="4" t="inlineStr">
        <is>
          <t>Missing</t>
        </is>
      </c>
      <c r="H221" s="4" t="inlineStr"/>
      <c r="I221" s="4" t="inlineStr"/>
    </row>
    <row r="222" ht="31" customHeight="1">
      <c r="A222" s="17" t="inlineStr">
        <is>
          <t>profiles_privacy_title</t>
        </is>
      </c>
      <c r="B222" s="4" t="inlineStr">
        <is>
          <t>feature:settings · strings.xml</t>
        </is>
      </c>
      <c r="C222" s="4" t="inlineStr">
        <is>
          <t>Private family profiles</t>
        </is>
      </c>
      <c r="D222" s="63" t="inlineStr"/>
      <c r="E222" s="4" t="inlineStr">
        <is>
          <t>Note</t>
        </is>
      </c>
      <c r="F222" s="4" t="inlineStr">
        <is>
          <t>Bold</t>
        </is>
      </c>
      <c r="G222" s="4" t="inlineStr">
        <is>
          <t>Missing</t>
        </is>
      </c>
      <c r="H222" s="4" t="inlineStr"/>
      <c r="I222" s="4" t="inlineStr"/>
    </row>
    <row r="223" ht="31" customHeight="1">
      <c r="A223" s="17" t="inlineStr">
        <is>
          <t>profiles_privacy_body</t>
        </is>
      </c>
      <c r="B223" s="4" t="inlineStr">
        <is>
          <t>feature:settings · strings.xml</t>
        </is>
      </c>
      <c r="C223" s="4" t="inlineStr">
        <is>
          <t>Only you can see and manage your children’s details.</t>
        </is>
      </c>
      <c r="D223" s="63" t="inlineStr"/>
      <c r="E223" s="4" t="inlineStr">
        <is>
          <t>Note</t>
        </is>
      </c>
      <c r="F223" s="4" t="inlineStr">
        <is>
          <t>Body</t>
        </is>
      </c>
      <c r="G223" s="4" t="inlineStr">
        <is>
          <t>Missing</t>
        </is>
      </c>
      <c r="H223" s="4" t="inlineStr"/>
      <c r="I223" s="4" t="inlineStr"/>
    </row>
    <row r="224" ht="31" customHeight="1">
      <c r="A224" s="17" t="inlineStr">
        <is>
          <t>profiles_age_language</t>
        </is>
      </c>
      <c r="B224" s="4" t="inlineStr">
        <is>
          <t>feature:settings · strings.xml</t>
        </is>
      </c>
      <c r="C224" s="4" t="inlineStr">
        <is>
          <t>%1$d years · %2$s</t>
        </is>
      </c>
      <c r="D224" s="63" t="inlineStr"/>
      <c r="E224" s="4" t="inlineStr">
        <is>
          <t>Card</t>
        </is>
      </c>
      <c r="F224" s="4" t="inlineStr">
        <is>
          <t>Plural/format</t>
        </is>
      </c>
      <c r="G224" s="4" t="inlineStr">
        <is>
          <t>Missing</t>
        </is>
      </c>
      <c r="H224" s="4" t="inlineStr"/>
      <c r="I224" s="4" t="inlineStr"/>
    </row>
    <row r="225" ht="31" customHeight="1">
      <c r="A225" s="17" t="inlineStr">
        <is>
          <t>profiles_active</t>
        </is>
      </c>
      <c r="B225" s="4" t="inlineStr">
        <is>
          <t>feature:settings · strings.xml</t>
        </is>
      </c>
      <c r="C225" s="4" t="inlineStr">
        <is>
          <t>Active</t>
        </is>
      </c>
      <c r="D225" s="63" t="inlineStr"/>
      <c r="E225" s="4" t="inlineStr">
        <is>
          <t>Pill</t>
        </is>
      </c>
      <c r="F225" s="4" t="inlineStr">
        <is>
          <t>Short</t>
        </is>
      </c>
      <c r="G225" s="4" t="inlineStr">
        <is>
          <t>Missing</t>
        </is>
      </c>
      <c r="H225" s="4" t="inlineStr"/>
      <c r="I225" s="4" t="inlineStr"/>
    </row>
    <row r="226" ht="31" customHeight="1">
      <c r="A226" s="17" t="inlineStr">
        <is>
          <t>profiles_switch</t>
        </is>
      </c>
      <c r="B226" s="4" t="inlineStr">
        <is>
          <t>feature:settings · strings.xml</t>
        </is>
      </c>
      <c r="C226" s="4" t="inlineStr">
        <is>
          <t>Switch</t>
        </is>
      </c>
      <c r="D226" s="63" t="inlineStr"/>
      <c r="E226" s="4" t="inlineStr">
        <is>
          <t>Pill</t>
        </is>
      </c>
      <c r="F226" s="4" t="inlineStr">
        <is>
          <t>Short</t>
        </is>
      </c>
      <c r="G226" s="4" t="inlineStr">
        <is>
          <t>Missing</t>
        </is>
      </c>
      <c r="H226" s="4" t="inlineStr"/>
      <c r="I226" s="4" t="inlineStr"/>
    </row>
    <row r="227" ht="31" customHeight="1">
      <c r="A227" s="17" t="inlineStr">
        <is>
          <t>profiles_edit_cd</t>
        </is>
      </c>
      <c r="B227" s="4" t="inlineStr">
        <is>
          <t>feature:settings · strings.xml</t>
        </is>
      </c>
      <c r="C227" s="4" t="inlineStr">
        <is>
          <t>Edit %1$s’s profile</t>
        </is>
      </c>
      <c r="D227" s="63" t="inlineStr"/>
      <c r="E227" s="4" t="inlineStr">
        <is>
          <t>Pencil</t>
        </is>
      </c>
      <c r="F227" s="4" t="inlineStr">
        <is>
          <t>A11y</t>
        </is>
      </c>
      <c r="G227" s="4" t="inlineStr">
        <is>
          <t>Missing</t>
        </is>
      </c>
      <c r="H227" s="4" t="inlineStr"/>
      <c r="I227" s="4" t="inlineStr"/>
    </row>
    <row r="228" ht="31" customHeight="1">
      <c r="A228" s="17" t="inlineStr">
        <is>
          <t>profiles_add_another_title</t>
        </is>
      </c>
      <c r="B228" s="4" t="inlineStr">
        <is>
          <t>feature:settings · strings.xml</t>
        </is>
      </c>
      <c r="C228" s="4" t="inlineStr">
        <is>
          <t>Add another child</t>
        </is>
      </c>
      <c r="D228" s="63" t="inlineStr"/>
      <c r="E228" s="4" t="inlineStr">
        <is>
          <t>Dashed row</t>
        </is>
      </c>
      <c r="F228" s="4" t="inlineStr">
        <is>
          <t>Bold</t>
        </is>
      </c>
      <c r="G228" s="4" t="inlineStr">
        <is>
          <t>Missing</t>
        </is>
      </c>
      <c r="H228" s="4" t="inlineStr"/>
      <c r="I228" s="4" t="inlineStr"/>
    </row>
    <row r="229" ht="31" customHeight="1">
      <c r="A229" s="17" t="inlineStr">
        <is>
          <t>profiles_add_another_body</t>
        </is>
      </c>
      <c r="B229" s="4" t="inlineStr">
        <is>
          <t>feature:settings · strings.xml</t>
        </is>
      </c>
      <c r="C229" s="4" t="inlineStr">
        <is>
          <t>Personalise stories for every little listener</t>
        </is>
      </c>
      <c r="D229" s="63" t="inlineStr"/>
      <c r="E229" s="4" t="inlineStr">
        <is>
          <t>Dashed row</t>
        </is>
      </c>
      <c r="F229" s="4" t="inlineStr">
        <is>
          <t>Small</t>
        </is>
      </c>
      <c r="G229" s="4" t="inlineStr">
        <is>
          <t>Missing</t>
        </is>
      </c>
      <c r="H229" s="4" t="inlineStr"/>
      <c r="I229" s="4" t="inlineStr"/>
    </row>
    <row r="230" ht="31" customHeight="1">
      <c r="A230" s="17" t="inlineStr">
        <is>
          <t>sub_eyebrow</t>
        </is>
      </c>
      <c r="B230" s="4" t="inlineStr">
        <is>
          <t>feature:settings · strings.xml</t>
        </is>
      </c>
      <c r="C230" s="4" t="inlineStr">
        <is>
          <t>LittleStory Premium</t>
        </is>
      </c>
      <c r="D230" s="63" t="inlineStr"/>
      <c r="E230" s="4" t="inlineStr">
        <is>
          <t>Hero (uppercased)</t>
        </is>
      </c>
      <c r="F230" s="4" t="inlineStr">
        <is>
          <t>Single line</t>
        </is>
      </c>
      <c r="G230" s="4" t="inlineStr">
        <is>
          <t>Missing</t>
        </is>
      </c>
      <c r="H230" s="4" t="inlineStr"/>
      <c r="I230" s="4" t="inlineStr"/>
    </row>
    <row r="231" ht="31" customHeight="1">
      <c r="A231" s="17" t="inlineStr">
        <is>
          <t>sub_title</t>
        </is>
      </c>
      <c r="B231" s="4" t="inlineStr">
        <is>
          <t>feature:settings · strings.xml</t>
        </is>
      </c>
      <c r="C231" s="4" t="inlineStr">
        <is>
          <t>Make every bedtime magical.</t>
        </is>
      </c>
      <c r="D231" s="63" t="inlineStr"/>
      <c r="E231" s="4" t="inlineStr">
        <is>
          <t>Hero</t>
        </is>
      </c>
      <c r="F231" s="4" t="inlineStr">
        <is>
          <t>Title</t>
        </is>
      </c>
      <c r="G231" s="4" t="inlineStr">
        <is>
          <t>Missing</t>
        </is>
      </c>
      <c r="H231" s="4" t="inlineStr"/>
      <c r="I231" s="4" t="inlineStr"/>
    </row>
    <row r="232" ht="31" customHeight="1">
      <c r="A232" s="17" t="inlineStr">
        <is>
          <t>sub_body</t>
        </is>
      </c>
      <c r="B232" s="4" t="inlineStr">
        <is>
          <t>feature:settings · strings.xml</t>
        </is>
      </c>
      <c r="C232" s="4" t="inlineStr">
        <is>
          <t>More wonder, more listening, and stories that grow with your family.</t>
        </is>
      </c>
      <c r="D232" s="63" t="inlineStr"/>
      <c r="E232" s="4" t="inlineStr">
        <is>
          <t>Hero</t>
        </is>
      </c>
      <c r="F232" s="4" t="inlineStr">
        <is>
          <t>Body</t>
        </is>
      </c>
      <c r="G232" s="4" t="inlineStr">
        <is>
          <t>Missing</t>
        </is>
      </c>
      <c r="H232" s="4" t="inlineStr"/>
      <c r="I232" s="4" t="inlineStr"/>
    </row>
    <row r="233" ht="31" customHeight="1">
      <c r="A233" s="17" t="inlineStr">
        <is>
          <t>sub_benefit_personalised</t>
        </is>
      </c>
      <c r="B233" s="4" t="inlineStr">
        <is>
          <t>feature:settings · strings.xml</t>
        </is>
      </c>
      <c r="C233" s="4" t="inlineStr">
        <is>
          <t>More personalised stories</t>
        </is>
      </c>
      <c r="D233" s="63" t="inlineStr"/>
      <c r="E233" s="4" t="inlineStr">
        <is>
          <t>Benefit</t>
        </is>
      </c>
      <c r="F233" s="4" t="inlineStr">
        <is>
          <t>Short</t>
        </is>
      </c>
      <c r="G233" s="4" t="inlineStr">
        <is>
          <t>Missing</t>
        </is>
      </c>
      <c r="H233" s="4" t="inlineStr"/>
      <c r="I233" s="4" t="inlineStr"/>
    </row>
    <row r="234" ht="31" customHeight="1">
      <c r="A234" s="17" t="inlineStr">
        <is>
          <t>sub_benefit_collections</t>
        </is>
      </c>
      <c r="B234" s="4" t="inlineStr">
        <is>
          <t>feature:settings · strings.xml</t>
        </is>
      </c>
      <c r="C234" s="4" t="inlineStr">
        <is>
          <t>Premium story collections</t>
        </is>
      </c>
      <c r="D234" s="63" t="inlineStr"/>
      <c r="E234" s="4" t="inlineStr">
        <is>
          <t>Benefit</t>
        </is>
      </c>
      <c r="F234" s="4" t="inlineStr">
        <is>
          <t>Short</t>
        </is>
      </c>
      <c r="G234" s="4" t="inlineStr">
        <is>
          <t>Missing</t>
        </is>
      </c>
      <c r="H234" s="4" t="inlineStr"/>
      <c r="I234" s="4" t="inlineStr"/>
    </row>
    <row r="235" ht="31" customHeight="1">
      <c r="A235" s="17" t="inlineStr">
        <is>
          <t>sub_benefit_audio</t>
        </is>
      </c>
      <c r="B235" s="4" t="inlineStr">
        <is>
          <t>feature:settings · strings.xml</t>
        </is>
      </c>
      <c r="C235" s="4" t="inlineStr">
        <is>
          <t>Audio narration</t>
        </is>
      </c>
      <c r="D235" s="63" t="inlineStr"/>
      <c r="E235" s="4" t="inlineStr">
        <is>
          <t>Benefit</t>
        </is>
      </c>
      <c r="F235" s="4" t="inlineStr">
        <is>
          <t>Short</t>
        </is>
      </c>
      <c r="G235" s="4" t="inlineStr">
        <is>
          <t>Missing</t>
        </is>
      </c>
      <c r="H235" s="4" t="inlineStr"/>
      <c r="I235" s="4" t="inlineStr"/>
    </row>
    <row r="236" ht="31" customHeight="1">
      <c r="A236" s="17" t="inlineStr">
        <is>
          <t>sub_benefit_offline</t>
        </is>
      </c>
      <c r="B236" s="4" t="inlineStr">
        <is>
          <t>feature:settings · strings.xml</t>
        </is>
      </c>
      <c r="C236" s="4" t="inlineStr">
        <is>
          <t>Offline downloads</t>
        </is>
      </c>
      <c r="D236" s="63" t="inlineStr"/>
      <c r="E236" s="4" t="inlineStr">
        <is>
          <t>Benefit</t>
        </is>
      </c>
      <c r="F236" s="4" t="inlineStr">
        <is>
          <t>Short</t>
        </is>
      </c>
      <c r="G236" s="4" t="inlineStr">
        <is>
          <t>Missing</t>
        </is>
      </c>
      <c r="H236" s="4" t="inlineStr"/>
      <c r="I236" s="4" t="inlineStr"/>
    </row>
    <row r="237" ht="31" customHeight="1">
      <c r="A237" s="17" t="inlineStr">
        <is>
          <t>sub_benefit_profiles</t>
        </is>
      </c>
      <c r="B237" s="4" t="inlineStr">
        <is>
          <t>feature:settings · strings.xml</t>
        </is>
      </c>
      <c r="C237" s="4" t="inlineStr">
        <is>
          <t>Multiple child profiles</t>
        </is>
      </c>
      <c r="D237" s="63" t="inlineStr"/>
      <c r="E237" s="4" t="inlineStr">
        <is>
          <t>Benefit</t>
        </is>
      </c>
      <c r="F237" s="4" t="inlineStr">
        <is>
          <t>Short</t>
        </is>
      </c>
      <c r="G237" s="4" t="inlineStr">
        <is>
          <t>Missing</t>
        </is>
      </c>
      <c r="H237" s="4" t="inlineStr"/>
      <c r="I237" s="4" t="inlineStr"/>
    </row>
    <row r="238" ht="31" customHeight="1">
      <c r="A238" s="17" t="inlineStr">
        <is>
          <t>sub_benefit_weekly</t>
        </is>
      </c>
      <c r="B238" s="4" t="inlineStr">
        <is>
          <t>feature:settings · strings.xml</t>
        </is>
      </c>
      <c r="C238" s="4" t="inlineStr">
        <is>
          <t>New stories every week</t>
        </is>
      </c>
      <c r="D238" s="63" t="inlineStr"/>
      <c r="E238" s="4" t="inlineStr">
        <is>
          <t>Benefit</t>
        </is>
      </c>
      <c r="F238" s="4" t="inlineStr">
        <is>
          <t>Short</t>
        </is>
      </c>
      <c r="G238" s="4" t="inlineStr">
        <is>
          <t>Missing</t>
        </is>
      </c>
      <c r="H238" s="4" t="inlineStr"/>
      <c r="I238" s="4" t="inlineStr"/>
    </row>
    <row r="239" ht="31" customHeight="1">
      <c r="A239" s="17" t="inlineStr">
        <is>
          <t>sub_plan_free</t>
        </is>
      </c>
      <c r="B239" s="4" t="inlineStr">
        <is>
          <t>feature:settings · strings.xml</t>
        </is>
      </c>
      <c r="C239" s="4" t="inlineStr">
        <is>
          <t>Free</t>
        </is>
      </c>
      <c r="D239" s="63" t="inlineStr"/>
      <c r="E239" s="4" t="inlineStr">
        <is>
          <t>Plan</t>
        </is>
      </c>
      <c r="F239" s="4" t="inlineStr">
        <is>
          <t>Short</t>
        </is>
      </c>
      <c r="G239" s="4" t="inlineStr">
        <is>
          <t>Missing</t>
        </is>
      </c>
      <c r="H239" s="4" t="inlineStr"/>
      <c r="I239" s="4" t="inlineStr"/>
    </row>
    <row r="240" ht="31" customHeight="1">
      <c r="A240" s="17" t="inlineStr">
        <is>
          <t>sub_plan_premium</t>
        </is>
      </c>
      <c r="B240" s="4" t="inlineStr">
        <is>
          <t>feature:settings · strings.xml</t>
        </is>
      </c>
      <c r="C240" s="4" t="inlineStr">
        <is>
          <t>Premium %1$s</t>
        </is>
      </c>
      <c r="D240" s="63" t="inlineStr"/>
      <c r="E240" s="4" t="inlineStr">
        <is>
          <t>Plan name</t>
        </is>
      </c>
      <c r="F240" s="4" t="inlineStr">
        <is>
          <t>Format</t>
        </is>
      </c>
      <c r="G240" s="4" t="inlineStr">
        <is>
          <t>Missing</t>
        </is>
      </c>
      <c r="H240" s="4" t="inlineStr"/>
      <c r="I240" s="4" t="inlineStr"/>
    </row>
    <row r="241" ht="31" customHeight="1">
      <c r="A241" s="17" t="inlineStr">
        <is>
          <t>sub_plan_monthly</t>
        </is>
      </c>
      <c r="B241" s="4" t="inlineStr">
        <is>
          <t>feature:settings · strings.xml</t>
        </is>
      </c>
      <c r="C241" s="4" t="inlineStr">
        <is>
          <t>Monthly</t>
        </is>
      </c>
      <c r="D241" s="63" t="inlineStr"/>
      <c r="E241" s="4" t="inlineStr">
        <is>
          <t>Plan</t>
        </is>
      </c>
      <c r="F241" s="4" t="inlineStr">
        <is>
          <t>Short</t>
        </is>
      </c>
      <c r="G241" s="4" t="inlineStr">
        <is>
          <t>Missing</t>
        </is>
      </c>
      <c r="H241" s="4" t="inlineStr"/>
      <c r="I241" s="4" t="inlineStr"/>
    </row>
    <row r="242" ht="31" customHeight="1">
      <c r="A242" s="17" t="inlineStr">
        <is>
          <t>sub_plan_yearly</t>
        </is>
      </c>
      <c r="B242" s="4" t="inlineStr">
        <is>
          <t>feature:settings · strings.xml</t>
        </is>
      </c>
      <c r="C242" s="4" t="inlineStr">
        <is>
          <t>Yearly</t>
        </is>
      </c>
      <c r="D242" s="63" t="inlineStr"/>
      <c r="E242" s="4" t="inlineStr">
        <is>
          <t>Plan</t>
        </is>
      </c>
      <c r="F242" s="4" t="inlineStr">
        <is>
          <t>Short</t>
        </is>
      </c>
      <c r="G242" s="4" t="inlineStr">
        <is>
          <t>Missing</t>
        </is>
      </c>
      <c r="H242" s="4" t="inlineStr"/>
      <c r="I242" s="4" t="inlineStr"/>
    </row>
    <row r="243" ht="31" customHeight="1">
      <c r="A243" s="17" t="inlineStr">
        <is>
          <t>sub_plan_family</t>
        </is>
      </c>
      <c r="B243" s="4" t="inlineStr">
        <is>
          <t>feature:settings · strings.xml</t>
        </is>
      </c>
      <c r="C243" s="4" t="inlineStr">
        <is>
          <t>Family</t>
        </is>
      </c>
      <c r="D243" s="63" t="inlineStr"/>
      <c r="E243" s="4" t="inlineStr">
        <is>
          <t>Plan</t>
        </is>
      </c>
      <c r="F243" s="4" t="inlineStr">
        <is>
          <t>Short</t>
        </is>
      </c>
      <c r="G243" s="4" t="inlineStr">
        <is>
          <t>Missing</t>
        </is>
      </c>
      <c r="H243" s="4" t="inlineStr"/>
      <c r="I243" s="4" t="inlineStr"/>
    </row>
    <row r="244" ht="31" customHeight="1">
      <c r="A244" s="17" t="inlineStr">
        <is>
          <t>sub_note_free</t>
        </is>
      </c>
      <c r="B244" s="4" t="inlineStr">
        <is>
          <t>feature:settings · strings.xml</t>
        </is>
      </c>
      <c r="C244" s="4" t="inlineStr">
        <is>
          <t>Try the magic</t>
        </is>
      </c>
      <c r="D244" s="63" t="inlineStr"/>
      <c r="E244" s="4" t="inlineStr">
        <is>
          <t>Plan note</t>
        </is>
      </c>
      <c r="F244" s="4" t="inlineStr">
        <is>
          <t>Small</t>
        </is>
      </c>
      <c r="G244" s="4" t="inlineStr">
        <is>
          <t>Missing</t>
        </is>
      </c>
      <c r="H244" s="4" t="inlineStr"/>
      <c r="I244" s="4" t="inlineStr"/>
    </row>
    <row r="245" ht="31" customHeight="1">
      <c r="A245" s="17" t="inlineStr">
        <is>
          <t>sub_note_month</t>
        </is>
      </c>
      <c r="B245" s="4" t="inlineStr">
        <is>
          <t>feature:settings · strings.xml</t>
        </is>
      </c>
      <c r="C245" s="4" t="inlineStr">
        <is>
          <t>per month</t>
        </is>
      </c>
      <c r="D245" s="63" t="inlineStr"/>
      <c r="E245" s="4" t="inlineStr">
        <is>
          <t>Plan note</t>
        </is>
      </c>
      <c r="F245" s="4" t="inlineStr">
        <is>
          <t>Small</t>
        </is>
      </c>
      <c r="G245" s="4" t="inlineStr">
        <is>
          <t>Missing</t>
        </is>
      </c>
      <c r="H245" s="4" t="inlineStr"/>
      <c r="I245" s="4" t="inlineStr"/>
    </row>
    <row r="246" ht="31" customHeight="1">
      <c r="A246" s="17" t="inlineStr">
        <is>
          <t>sub_note_year_best</t>
        </is>
      </c>
      <c r="B246" s="4" t="inlineStr">
        <is>
          <t>feature:settings · strings.xml</t>
        </is>
      </c>
      <c r="C246" s="4" t="inlineStr">
        <is>
          <t>per year · best value</t>
        </is>
      </c>
      <c r="D246" s="63" t="inlineStr"/>
      <c r="E246" s="4" t="inlineStr">
        <is>
          <t>Plan note</t>
        </is>
      </c>
      <c r="F246" s="4" t="inlineStr">
        <is>
          <t>Small</t>
        </is>
      </c>
      <c r="G246" s="4" t="inlineStr">
        <is>
          <t>Missing</t>
        </is>
      </c>
      <c r="H246" s="4" t="inlineStr"/>
      <c r="I246" s="4" t="inlineStr"/>
    </row>
    <row r="247" ht="31" customHeight="1">
      <c r="A247" s="17" t="inlineStr">
        <is>
          <t>sub_note_family</t>
        </is>
      </c>
      <c r="B247" s="4" t="inlineStr">
        <is>
          <t>feature:settings · strings.xml</t>
        </is>
      </c>
      <c r="C247" s="4" t="inlineStr">
        <is>
          <t>per year · up to %1$d children</t>
        </is>
      </c>
      <c r="D247" s="63" t="inlineStr"/>
      <c r="E247" s="4" t="inlineStr">
        <is>
          <t>Plan note</t>
        </is>
      </c>
      <c r="F247" s="4" t="inlineStr">
        <is>
          <t>Plural</t>
        </is>
      </c>
      <c r="G247" s="4" t="inlineStr">
        <is>
          <t>Missing</t>
        </is>
      </c>
      <c r="H247" s="4" t="inlineStr"/>
      <c r="I247" s="4" t="inlineStr"/>
    </row>
    <row r="248" ht="31" customHeight="1">
      <c r="A248" s="17" t="inlineStr">
        <is>
          <t>sub_best_value</t>
        </is>
      </c>
      <c r="B248" s="4" t="inlineStr">
        <is>
          <t>feature:settings · strings.xml</t>
        </is>
      </c>
      <c r="C248" s="4" t="inlineStr">
        <is>
          <t>Best value</t>
        </is>
      </c>
      <c r="D248" s="63" t="inlineStr"/>
      <c r="E248" s="4" t="inlineStr">
        <is>
          <t>Tag (uppercased)</t>
        </is>
      </c>
      <c r="F248" s="4" t="inlineStr">
        <is>
          <t>Very short</t>
        </is>
      </c>
      <c r="G248" s="4" t="inlineStr">
        <is>
          <t>Missing</t>
        </is>
      </c>
      <c r="H248" s="4" t="inlineStr"/>
      <c r="I248" s="4" t="inlineStr"/>
    </row>
    <row r="249" ht="31" customHeight="1">
      <c r="A249" s="17" t="inlineStr">
        <is>
          <t>sub_disclaimer</t>
        </is>
      </c>
      <c r="B249" s="4" t="inlineStr">
        <is>
          <t>feature:settings · strings.xml</t>
        </is>
      </c>
      <c r="C249" s="4" t="inlineStr">
        <is>
          <t>Illustrative pricing only. No real payment will be processed.</t>
        </is>
      </c>
      <c r="D249" s="63" t="inlineStr"/>
      <c r="E249" s="4" t="inlineStr">
        <is>
          <t>Note</t>
        </is>
      </c>
      <c r="F249" s="4" t="inlineStr">
        <is>
          <t>Small</t>
        </is>
      </c>
      <c r="G249" s="4" t="inlineStr">
        <is>
          <t>Missing</t>
        </is>
      </c>
      <c r="H249" s="4" t="inlineStr"/>
      <c r="I249" s="4" t="inlineStr"/>
    </row>
    <row r="250" ht="31" customHeight="1">
      <c r="A250" s="17" t="inlineStr">
        <is>
          <t>sub_choose_plan</t>
        </is>
      </c>
      <c r="B250" s="4" t="inlineStr">
        <is>
          <t>feature:settings · strings.xml</t>
        </is>
      </c>
      <c r="C250" s="4" t="inlineStr">
        <is>
          <t>Choose %1$s Plan</t>
        </is>
      </c>
      <c r="D250" s="63" t="inlineStr"/>
      <c r="E250" s="4" t="inlineStr">
        <is>
          <t>CTA</t>
        </is>
      </c>
      <c r="F250" s="4" t="inlineStr">
        <is>
          <t>Button</t>
        </is>
      </c>
      <c r="G250" s="4" t="inlineStr">
        <is>
          <t>Missing</t>
        </is>
      </c>
      <c r="H250" s="4" t="inlineStr"/>
      <c r="I250" s="4" t="inlineStr"/>
    </row>
    <row r="251" ht="31" customHeight="1">
      <c r="A251" s="17" t="inlineStr">
        <is>
          <t>sub_restore</t>
        </is>
      </c>
      <c r="B251" s="4" t="inlineStr">
        <is>
          <t>feature:settings · strings.xml</t>
        </is>
      </c>
      <c r="C251" s="4" t="inlineStr">
        <is>
          <t>Restore purchases</t>
        </is>
      </c>
      <c r="D251" s="63" t="inlineStr"/>
      <c r="E251" s="4" t="inlineStr">
        <is>
          <t>Link</t>
        </is>
      </c>
      <c r="F251" s="4" t="inlineStr">
        <is>
          <t>Small</t>
        </is>
      </c>
      <c r="G251" s="4" t="inlineStr">
        <is>
          <t>Missing</t>
        </is>
      </c>
      <c r="H251" s="4" t="inlineStr"/>
      <c r="I251" s="4" t="inlineStr"/>
    </row>
    <row r="252" ht="31" customHeight="1">
      <c r="A252" s="17" t="inlineStr">
        <is>
          <t>sub_terms</t>
        </is>
      </c>
      <c r="B252" s="4" t="inlineStr">
        <is>
          <t>feature:settings · strings.xml</t>
        </is>
      </c>
      <c r="C252" s="4" t="inlineStr">
        <is>
          <t>Terms</t>
        </is>
      </c>
      <c r="D252" s="63" t="inlineStr"/>
      <c r="E252" s="4" t="inlineStr">
        <is>
          <t>Link</t>
        </is>
      </c>
      <c r="F252" s="4" t="inlineStr">
        <is>
          <t>Small</t>
        </is>
      </c>
      <c r="G252" s="4" t="inlineStr">
        <is>
          <t>Missing</t>
        </is>
      </c>
      <c r="H252" s="4" t="inlineStr"/>
      <c r="I252" s="4" t="inlineStr"/>
    </row>
    <row r="253" ht="31" customHeight="1">
      <c r="A253" s="17" t="inlineStr">
        <is>
          <t>sub_privacy</t>
        </is>
      </c>
      <c r="B253" s="4" t="inlineStr">
        <is>
          <t>feature:settings · strings.xml</t>
        </is>
      </c>
      <c r="C253" s="4" t="inlineStr">
        <is>
          <t>Privacy</t>
        </is>
      </c>
      <c r="D253" s="63" t="inlineStr"/>
      <c r="E253" s="4" t="inlineStr">
        <is>
          <t>Link</t>
        </is>
      </c>
      <c r="F253" s="4" t="inlineStr">
        <is>
          <t>Small</t>
        </is>
      </c>
      <c r="G253" s="4" t="inlineStr">
        <is>
          <t>Missing</t>
        </is>
      </c>
      <c r="H253" s="4" t="inlineStr"/>
      <c r="I253" s="4" t="inlineStr"/>
    </row>
    <row r="254" ht="31" customHeight="1">
      <c r="A254" s="17" t="inlineStr">
        <is>
          <t>sub_dialog_title</t>
        </is>
      </c>
      <c r="B254" s="4" t="inlineStr">
        <is>
          <t>feature:settings · strings.xml</t>
        </is>
      </c>
      <c r="C254" s="4" t="inlineStr">
        <is>
          <t>Plan selected</t>
        </is>
      </c>
      <c r="D254" s="63" t="inlineStr"/>
      <c r="E254" s="4" t="inlineStr">
        <is>
          <t>Dialog</t>
        </is>
      </c>
      <c r="F254" s="4" t="inlineStr">
        <is>
          <t>Title</t>
        </is>
      </c>
      <c r="G254" s="4" t="inlineStr">
        <is>
          <t>Missing</t>
        </is>
      </c>
      <c r="H254" s="4" t="inlineStr"/>
      <c r="I254" s="4" t="inlineStr"/>
    </row>
    <row r="255" ht="31" customHeight="1">
      <c r="A255" s="17" t="inlineStr">
        <is>
          <t>sub_dialog_body</t>
        </is>
      </c>
      <c r="B255" s="4" t="inlineStr">
        <is>
          <t>feature:settings · strings.xml</t>
        </is>
      </c>
      <c r="C255" s="4" t="inlineStr">
        <is>
          <t>This is a prototype, so no payment was made. You selected the %1$s plan.</t>
        </is>
      </c>
      <c r="D255" s="63" t="inlineStr"/>
      <c r="E255" s="4" t="inlineStr">
        <is>
          <t>Dialog</t>
        </is>
      </c>
      <c r="F255" s="4" t="inlineStr">
        <is>
          <t>Body</t>
        </is>
      </c>
      <c r="G255" s="4" t="inlineStr">
        <is>
          <t>Missing</t>
        </is>
      </c>
      <c r="H255" s="4" t="inlineStr"/>
      <c r="I255" s="4" t="inlineStr"/>
    </row>
    <row r="256" ht="31" customHeight="1">
      <c r="A256" s="17" t="inlineStr">
        <is>
          <t>reminder_title</t>
        </is>
      </c>
      <c r="B256" s="4" t="inlineStr">
        <is>
          <t>feature:settings · strings.xml</t>
        </is>
      </c>
      <c r="C256" s="4" t="inlineStr">
        <is>
          <t>Bedtime Reminder</t>
        </is>
      </c>
      <c r="D256" s="63" t="inlineStr"/>
      <c r="E256" s="4" t="inlineStr">
        <is>
          <t>Top bar</t>
        </is>
      </c>
      <c r="F256" s="4" t="inlineStr">
        <is>
          <t>Title</t>
        </is>
      </c>
      <c r="G256" s="4" t="inlineStr">
        <is>
          <t>Missing</t>
        </is>
      </c>
      <c r="H256" s="4" t="inlineStr"/>
      <c r="I256" s="4" t="inlineStr"/>
    </row>
    <row r="257" ht="31" customHeight="1">
      <c r="A257" s="17" t="inlineStr">
        <is>
          <t>reminder_visual_title</t>
        </is>
      </c>
      <c r="B257" s="4" t="inlineStr">
        <is>
          <t>feature:settings · strings.xml</t>
        </is>
      </c>
      <c r="C257" s="4" t="inlineStr">
        <is>
          <t>A gentle nudge for storytime</t>
        </is>
      </c>
      <c r="D257" s="63" t="inlineStr"/>
      <c r="E257" s="4" t="inlineStr">
        <is>
          <t>Panel</t>
        </is>
      </c>
      <c r="F257" s="4" t="inlineStr">
        <is>
          <t>Title</t>
        </is>
      </c>
      <c r="G257" s="4" t="inlineStr">
        <is>
          <t>Missing</t>
        </is>
      </c>
      <c r="H257" s="4" t="inlineStr"/>
      <c r="I257" s="4" t="inlineStr"/>
    </row>
    <row r="258" ht="31" customHeight="1">
      <c r="A258" s="17" t="inlineStr">
        <is>
          <t>reminder_visual_body</t>
        </is>
      </c>
      <c r="B258" s="4" t="inlineStr">
        <is>
          <t>feature:settings · strings.xml</t>
        </is>
      </c>
      <c r="C258" s="4" t="inlineStr">
        <is>
          <t>We’ll keep it quiet and calm—just one reminder.</t>
        </is>
      </c>
      <c r="D258" s="63" t="inlineStr"/>
      <c r="E258" s="4" t="inlineStr">
        <is>
          <t>Panel</t>
        </is>
      </c>
      <c r="F258" s="4" t="inlineStr">
        <is>
          <t>Body</t>
        </is>
      </c>
      <c r="G258" s="4" t="inlineStr">
        <is>
          <t>Missing</t>
        </is>
      </c>
      <c r="H258" s="4" t="inlineStr"/>
      <c r="I258" s="4" t="inlineStr"/>
    </row>
    <row r="259" ht="31" customHeight="1">
      <c r="A259" s="17" t="inlineStr">
        <is>
          <t>reminder_toggle</t>
        </is>
      </c>
      <c r="B259" s="4" t="inlineStr">
        <is>
          <t>feature:settings · strings.xml</t>
        </is>
      </c>
      <c r="C259" s="4" t="inlineStr">
        <is>
          <t>Bedtime reminder</t>
        </is>
      </c>
      <c r="D259" s="63" t="inlineStr"/>
      <c r="E259" s="4" t="inlineStr">
        <is>
          <t>Toggle row</t>
        </is>
      </c>
      <c r="F259" s="4" t="inlineStr">
        <is>
          <t>Bold</t>
        </is>
      </c>
      <c r="G259" s="4" t="inlineStr">
        <is>
          <t>Missing</t>
        </is>
      </c>
      <c r="H259" s="4" t="inlineStr"/>
      <c r="I259" s="4" t="inlineStr"/>
    </row>
    <row r="260" ht="31" customHeight="1">
      <c r="A260" s="17" t="inlineStr">
        <is>
          <t>reminder_pause_anytime</t>
        </is>
      </c>
      <c r="B260" s="4" t="inlineStr">
        <is>
          <t>feature:settings · strings.xml</t>
        </is>
      </c>
      <c r="C260" s="4" t="inlineStr">
        <is>
          <t>Pause anytime</t>
        </is>
      </c>
      <c r="D260" s="63" t="inlineStr"/>
      <c r="E260" s="4" t="inlineStr">
        <is>
          <t>Toggle row</t>
        </is>
      </c>
      <c r="F260" s="4" t="inlineStr">
        <is>
          <t>Small</t>
        </is>
      </c>
      <c r="G260" s="4" t="inlineStr">
        <is>
          <t>Missing</t>
        </is>
      </c>
      <c r="H260" s="4" t="inlineStr"/>
      <c r="I260" s="4" t="inlineStr"/>
    </row>
    <row r="261" ht="31" customHeight="1">
      <c r="A261" s="17" t="inlineStr">
        <is>
          <t>reminder_time</t>
        </is>
      </c>
      <c r="B261" s="4" t="inlineStr">
        <is>
          <t>feature:settings · strings.xml</t>
        </is>
      </c>
      <c r="C261" s="4" t="inlineStr">
        <is>
          <t>Reminder time</t>
        </is>
      </c>
      <c r="D261" s="63" t="inlineStr"/>
      <c r="E261" s="4" t="inlineStr">
        <is>
          <t>Field</t>
        </is>
      </c>
      <c r="F261" s="4" t="inlineStr">
        <is>
          <t>Label</t>
        </is>
      </c>
      <c r="G261" s="4" t="inlineStr">
        <is>
          <t>Missing</t>
        </is>
      </c>
      <c r="H261" s="4" t="inlineStr"/>
      <c r="I261" s="4" t="inlineStr"/>
    </row>
    <row r="262" ht="31" customHeight="1">
      <c r="A262" s="17" t="inlineStr">
        <is>
          <t>reminder_repeat_on</t>
        </is>
      </c>
      <c r="B262" s="4" t="inlineStr">
        <is>
          <t>feature:settings · strings.xml</t>
        </is>
      </c>
      <c r="C262" s="4" t="inlineStr">
        <is>
          <t>Repeat on</t>
        </is>
      </c>
      <c r="D262" s="63" t="inlineStr"/>
      <c r="E262" s="4" t="inlineStr">
        <is>
          <t>Field</t>
        </is>
      </c>
      <c r="F262" s="4" t="inlineStr">
        <is>
          <t>Label</t>
        </is>
      </c>
      <c r="G262" s="4" t="inlineStr">
        <is>
          <t>Missing</t>
        </is>
      </c>
      <c r="H262" s="4" t="inlineStr"/>
      <c r="I262" s="4" t="inlineStr"/>
    </row>
    <row r="263" ht="31" customHeight="1">
      <c r="A263" s="17" t="inlineStr">
        <is>
          <t>reminder_quiet_title</t>
        </is>
      </c>
      <c r="B263" s="4" t="inlineStr">
        <is>
          <t>feature:settings · strings.xml</t>
        </is>
      </c>
      <c r="C263" s="4" t="inlineStr">
        <is>
          <t>Quiet bedtime experience</t>
        </is>
      </c>
      <c r="D263" s="63" t="inlineStr"/>
      <c r="E263" s="4" t="inlineStr">
        <is>
          <t>Quiet row</t>
        </is>
      </c>
      <c r="F263" s="4" t="inlineStr">
        <is>
          <t>Bold</t>
        </is>
      </c>
      <c r="G263" s="4" t="inlineStr">
        <is>
          <t>Missing</t>
        </is>
      </c>
      <c r="H263" s="4" t="inlineStr"/>
      <c r="I263" s="4" t="inlineStr"/>
    </row>
    <row r="264" ht="31" customHeight="1">
      <c r="A264" s="17" t="inlineStr">
        <is>
          <t>reminder_quiet_body</t>
        </is>
      </c>
      <c r="B264" s="4" t="inlineStr">
        <is>
          <t>feature:settings · strings.xml</t>
        </is>
      </c>
      <c r="C264" s="4" t="inlineStr">
        <is>
          <t>No sound, no bright alerts</t>
        </is>
      </c>
      <c r="D264" s="63" t="inlineStr"/>
      <c r="E264" s="4" t="inlineStr">
        <is>
          <t>Quiet row</t>
        </is>
      </c>
      <c r="F264" s="4" t="inlineStr">
        <is>
          <t>Small</t>
        </is>
      </c>
      <c r="G264" s="4" t="inlineStr">
        <is>
          <t>Missing</t>
        </is>
      </c>
      <c r="H264" s="4" t="inlineStr"/>
      <c r="I264" s="4" t="inlineStr"/>
    </row>
    <row r="265" ht="31" customHeight="1">
      <c r="A265" s="17" t="inlineStr">
        <is>
          <t>reminder_save</t>
        </is>
      </c>
      <c r="B265" s="4" t="inlineStr">
        <is>
          <t>feature:settings · strings.xml</t>
        </is>
      </c>
      <c r="C265" s="4" t="inlineStr">
        <is>
          <t>Save reminder</t>
        </is>
      </c>
      <c r="D265" s="63" t="inlineStr"/>
      <c r="E265" s="4" t="inlineStr">
        <is>
          <t>CTA</t>
        </is>
      </c>
      <c r="F265" s="4" t="inlineStr">
        <is>
          <t>Button</t>
        </is>
      </c>
      <c r="G265" s="4" t="inlineStr">
        <is>
          <t>Missing</t>
        </is>
      </c>
      <c r="H265" s="4" t="inlineStr"/>
      <c r="I265" s="4" t="inlineStr"/>
    </row>
    <row r="266" ht="31" customHeight="1">
      <c r="A266" s="17" t="inlineStr">
        <is>
          <t>reminder_saved_toast</t>
        </is>
      </c>
      <c r="B266" s="4" t="inlineStr">
        <is>
          <t>feature:settings · strings.xml</t>
        </is>
      </c>
      <c r="C266" s="4" t="inlineStr">
        <is>
          <t>Reminder saved for %1$s</t>
        </is>
      </c>
      <c r="D266" s="63" t="inlineStr"/>
      <c r="E266" s="4" t="inlineStr">
        <is>
          <t>Toast</t>
        </is>
      </c>
      <c r="F266" s="4" t="inlineStr">
        <is>
          <t>Locale time</t>
        </is>
      </c>
      <c r="G266" s="4" t="inlineStr">
        <is>
          <t>Missing</t>
        </is>
      </c>
      <c r="H266" s="4" t="inlineStr"/>
      <c r="I266" s="4" t="inlineStr"/>
    </row>
    <row r="267" ht="31" customHeight="1">
      <c r="A267" s="17" t="inlineStr">
        <is>
          <t>reminder_day_initials</t>
        </is>
      </c>
      <c r="B267" s="4" t="inlineStr">
        <is>
          <t>feature:settings · strings.xml</t>
        </is>
      </c>
      <c r="C267" s="4" t="inlineStr">
        <is>
          <t>(use DayOfWeek TextStyle.NARROW)</t>
        </is>
      </c>
      <c r="D267" s="63" t="inlineStr"/>
      <c r="E267" s="4" t="inlineStr">
        <is>
          <t>Day buttons</t>
        </is>
      </c>
      <c r="F267" s="4" t="inlineStr">
        <is>
          <t>Not a string resource – locale API</t>
        </is>
      </c>
      <c r="G267" s="4" t="inlineStr">
        <is>
          <t>Missing</t>
        </is>
      </c>
      <c r="H267" s="4" t="inlineStr"/>
      <c r="I267" s="4" t="inlineStr"/>
    </row>
    <row r="268" ht="31" customHeight="1">
      <c r="A268" s="17" t="inlineStr">
        <is>
          <t>downloads_title</t>
        </is>
      </c>
      <c r="B268" s="4" t="inlineStr">
        <is>
          <t>feature:library · strings.xml</t>
        </is>
      </c>
      <c r="C268" s="4" t="inlineStr">
        <is>
          <t>Offline Downloads</t>
        </is>
      </c>
      <c r="D268" s="63" t="inlineStr"/>
      <c r="E268" s="4" t="inlineStr">
        <is>
          <t>Top bar</t>
        </is>
      </c>
      <c r="F268" s="4" t="inlineStr">
        <is>
          <t>Title</t>
        </is>
      </c>
      <c r="G268" s="4" t="inlineStr">
        <is>
          <t>Missing</t>
        </is>
      </c>
      <c r="H268" s="4" t="inlineStr"/>
      <c r="I268" s="4" t="inlineStr"/>
    </row>
    <row r="269" ht="31" customHeight="1">
      <c r="A269" s="17" t="inlineStr">
        <is>
          <t>downloads_used</t>
        </is>
      </c>
      <c r="B269" s="4" t="inlineStr">
        <is>
          <t>feature:library · strings.xml</t>
        </is>
      </c>
      <c r="C269" s="4" t="inlineStr">
        <is>
          <t>%1$d MB used</t>
        </is>
      </c>
      <c r="D269" s="63" t="inlineStr"/>
      <c r="E269" s="4" t="inlineStr">
        <is>
          <t>Storage card</t>
        </is>
      </c>
      <c r="F269" s="4" t="inlineStr">
        <is>
          <t>Format</t>
        </is>
      </c>
      <c r="G269" s="4" t="inlineStr">
        <is>
          <t>Missing</t>
        </is>
      </c>
      <c r="H269" s="4" t="inlineStr"/>
      <c r="I269" s="4" t="inlineStr"/>
    </row>
    <row r="270" ht="31" customHeight="1">
      <c r="A270" s="17" t="inlineStr">
        <is>
          <t>downloads_of_available</t>
        </is>
      </c>
      <c r="B270" s="4" t="inlineStr">
        <is>
          <t>feature:library · strings.xml</t>
        </is>
      </c>
      <c r="C270" s="4" t="inlineStr">
        <is>
          <t>of %1$s available for stories</t>
        </is>
      </c>
      <c r="D270" s="63" t="inlineStr"/>
      <c r="E270" s="4" t="inlineStr">
        <is>
          <t>Storage card</t>
        </is>
      </c>
      <c r="F270" s="4" t="inlineStr">
        <is>
          <t>Format</t>
        </is>
      </c>
      <c r="G270" s="4" t="inlineStr">
        <is>
          <t>Missing</t>
        </is>
      </c>
      <c r="H270" s="4" t="inlineStr"/>
      <c r="I270" s="4" t="inlineStr"/>
    </row>
    <row r="271" ht="31" customHeight="1">
      <c r="A271" s="17" t="inlineStr">
        <is>
          <t>downloads_size_meta</t>
        </is>
      </c>
      <c r="B271" s="4" t="inlineStr">
        <is>
          <t>feature:library · strings.xml</t>
        </is>
      </c>
      <c r="C271" s="4" t="inlineStr">
        <is>
          <t>%1$d MB · Audio &amp; story</t>
        </is>
      </c>
      <c r="D271" s="63" t="inlineStr"/>
      <c r="E271" s="4" t="inlineStr">
        <is>
          <t>Row</t>
        </is>
      </c>
      <c r="F271" s="4" t="inlineStr">
        <is>
          <t>Format</t>
        </is>
      </c>
      <c r="G271" s="4" t="inlineStr">
        <is>
          <t>Missing</t>
        </is>
      </c>
      <c r="H271" s="4" t="inlineStr"/>
      <c r="I271" s="4" t="inlineStr"/>
    </row>
    <row r="272" ht="31" customHeight="1">
      <c r="A272" s="17" t="inlineStr">
        <is>
          <t>downloads_remove_cd</t>
        </is>
      </c>
      <c r="B272" s="4" t="inlineStr">
        <is>
          <t>feature:library · strings.xml</t>
        </is>
      </c>
      <c r="C272" s="4" t="inlineStr">
        <is>
          <t>Remove download of %1$s</t>
        </is>
      </c>
      <c r="D272" s="63" t="inlineStr"/>
      <c r="E272" s="4" t="inlineStr">
        <is>
          <t>✕</t>
        </is>
      </c>
      <c r="F272" s="4" t="inlineStr">
        <is>
          <t>A11y</t>
        </is>
      </c>
      <c r="G272" s="4" t="inlineStr">
        <is>
          <t>Missing</t>
        </is>
      </c>
      <c r="H272" s="4" t="inlineStr"/>
      <c r="I272" s="4" t="inlineStr"/>
    </row>
    <row r="273" ht="31" customHeight="1">
      <c r="A273" s="17" t="inlineStr">
        <is>
          <t>downloads_empty_title</t>
        </is>
      </c>
      <c r="B273" s="4" t="inlineStr">
        <is>
          <t>feature:library · strings.xml</t>
        </is>
      </c>
      <c r="C273" s="4" t="inlineStr">
        <is>
          <t>No downloads yet</t>
        </is>
      </c>
      <c r="D273" s="63" t="inlineStr"/>
      <c r="E273" s="4" t="inlineStr">
        <is>
          <t>Empty state</t>
        </is>
      </c>
      <c r="F273" s="4" t="inlineStr">
        <is>
          <t>Heading</t>
        </is>
      </c>
      <c r="G273" s="4" t="inlineStr">
        <is>
          <t>Missing</t>
        </is>
      </c>
      <c r="H273" s="4" t="inlineStr"/>
      <c r="I273" s="4" t="inlineStr"/>
    </row>
    <row r="274" ht="31" customHeight="1">
      <c r="A274" s="17" t="inlineStr">
        <is>
          <t>downloads_empty_body</t>
        </is>
      </c>
      <c r="B274" s="4" t="inlineStr">
        <is>
          <t>feature:library · strings.xml</t>
        </is>
      </c>
      <c r="C274" s="4" t="inlineStr">
        <is>
          <t>Save a few favourites for journeys, power cuts, and cosy nights away.</t>
        </is>
      </c>
      <c r="D274" s="63" t="inlineStr"/>
      <c r="E274" s="4" t="inlineStr">
        <is>
          <t>Empty state</t>
        </is>
      </c>
      <c r="F274" s="4" t="inlineStr">
        <is>
          <t>Body</t>
        </is>
      </c>
      <c r="G274" s="4" t="inlineStr">
        <is>
          <t>Missing</t>
        </is>
      </c>
      <c r="H274" s="4" t="inlineStr"/>
      <c r="I274" s="4" t="inlineStr"/>
    </row>
    <row r="275" ht="31" customHeight="1">
      <c r="A275" s="17" t="inlineStr">
        <is>
          <t>downloads_find_story</t>
        </is>
      </c>
      <c r="B275" s="4" t="inlineStr">
        <is>
          <t>feature:library · strings.xml</t>
        </is>
      </c>
      <c r="C275" s="4" t="inlineStr">
        <is>
          <t>Find a story</t>
        </is>
      </c>
      <c r="D275" s="63" t="inlineStr"/>
      <c r="E275" s="4" t="inlineStr">
        <is>
          <t>Empty CTA</t>
        </is>
      </c>
      <c r="F275" s="4" t="inlineStr">
        <is>
          <t>Button</t>
        </is>
      </c>
      <c r="G275" s="4" t="inlineStr">
        <is>
          <t>Missing</t>
        </is>
      </c>
      <c r="H275" s="4" t="inlineStr"/>
      <c r="I275" s="4" t="inlineStr"/>
    </row>
    <row r="276" ht="31" customHeight="1">
      <c r="A276" s="17" t="inlineStr">
        <is>
          <t>downloads_tip_title</t>
        </is>
      </c>
      <c r="B276" s="4" t="inlineStr">
        <is>
          <t>feature:library · strings.xml</t>
        </is>
      </c>
      <c r="C276" s="4" t="inlineStr">
        <is>
          <t>Offline means worry-free</t>
        </is>
      </c>
      <c r="D276" s="63" t="inlineStr"/>
      <c r="E276" s="4" t="inlineStr">
        <is>
          <t>Tip</t>
        </is>
      </c>
      <c r="F276" s="4" t="inlineStr">
        <is>
          <t>Bold</t>
        </is>
      </c>
      <c r="G276" s="4" t="inlineStr">
        <is>
          <t>Missing</t>
        </is>
      </c>
      <c r="H276" s="4" t="inlineStr"/>
      <c r="I276" s="4" t="inlineStr"/>
    </row>
    <row r="277" ht="31" customHeight="1">
      <c r="A277" s="17" t="inlineStr">
        <is>
          <t>downloads_tip_body</t>
        </is>
      </c>
      <c r="B277" s="4" t="inlineStr">
        <is>
          <t>feature:library · strings.xml</t>
        </is>
      </c>
      <c r="C277" s="4" t="inlineStr">
        <is>
          <t>Downloaded stories work without internet and stay private on this device.</t>
        </is>
      </c>
      <c r="D277" s="63" t="inlineStr"/>
      <c r="E277" s="4" t="inlineStr">
        <is>
          <t>Tip</t>
        </is>
      </c>
      <c r="F277" s="4" t="inlineStr">
        <is>
          <t>Body</t>
        </is>
      </c>
      <c r="G277" s="4" t="inlineStr">
        <is>
          <t>Missing</t>
        </is>
      </c>
      <c r="H277" s="4" t="inlineStr"/>
      <c r="I277" s="4" t="inlineStr"/>
    </row>
    <row r="278" ht="31" customHeight="1">
      <c r="A278" s="17" t="inlineStr">
        <is>
          <t>notifications_title</t>
        </is>
      </c>
      <c r="B278" s="4" t="inlineStr">
        <is>
          <t>feature:settings · strings.xml</t>
        </is>
      </c>
      <c r="C278" s="4" t="inlineStr">
        <is>
          <t>Notifications</t>
        </is>
      </c>
      <c r="D278" s="63" t="inlineStr"/>
      <c r="E278" s="4" t="inlineStr">
        <is>
          <t>Top bar</t>
        </is>
      </c>
      <c r="F278" s="4" t="inlineStr">
        <is>
          <t>Title</t>
        </is>
      </c>
      <c r="G278" s="4" t="inlineStr">
        <is>
          <t>Missing</t>
        </is>
      </c>
      <c r="H278" s="4" t="inlineStr"/>
      <c r="I278" s="4" t="inlineStr"/>
    </row>
    <row r="279" ht="31" customHeight="1">
      <c r="A279" s="17" t="inlineStr">
        <is>
          <t>notifications_mark_all_read</t>
        </is>
      </c>
      <c r="B279" s="4" t="inlineStr">
        <is>
          <t>feature:settings · strings.xml</t>
        </is>
      </c>
      <c r="C279" s="4" t="inlineStr">
        <is>
          <t>Mark all read</t>
        </is>
      </c>
      <c r="D279" s="63" t="inlineStr"/>
      <c r="E279" s="4" t="inlineStr">
        <is>
          <t>Top bar action</t>
        </is>
      </c>
      <c r="F279" s="4" t="inlineStr">
        <is>
          <t>Short</t>
        </is>
      </c>
      <c r="G279" s="4" t="inlineStr">
        <is>
          <t>Missing</t>
        </is>
      </c>
      <c r="H279" s="4" t="inlineStr"/>
      <c r="I279" s="4" t="inlineStr"/>
    </row>
    <row r="280" ht="31" customHeight="1">
      <c r="A280" s="17" t="inlineStr">
        <is>
          <t>notifications_today</t>
        </is>
      </c>
      <c r="B280" s="4" t="inlineStr">
        <is>
          <t>feature:settings · strings.xml</t>
        </is>
      </c>
      <c r="C280" s="4" t="inlineStr">
        <is>
          <t>Today</t>
        </is>
      </c>
      <c r="D280" s="63" t="inlineStr"/>
      <c r="E280" s="4" t="inlineStr">
        <is>
          <t>Section (uppercased)</t>
        </is>
      </c>
      <c r="F280" s="4" t="inlineStr">
        <is>
          <t>Heading</t>
        </is>
      </c>
      <c r="G280" s="4" t="inlineStr">
        <is>
          <t>Missing</t>
        </is>
      </c>
      <c r="H280" s="4" t="inlineStr"/>
      <c r="I280" s="4" t="inlineStr"/>
    </row>
    <row r="281" ht="31" customHeight="1">
      <c r="A281" s="17" t="inlineStr">
        <is>
          <t>notifications_earlier</t>
        </is>
      </c>
      <c r="B281" s="4" t="inlineStr">
        <is>
          <t>feature:settings · strings.xml</t>
        </is>
      </c>
      <c r="C281" s="4" t="inlineStr">
        <is>
          <t>Earlier</t>
        </is>
      </c>
      <c r="D281" s="63" t="inlineStr"/>
      <c r="E281" s="4" t="inlineStr">
        <is>
          <t>Section (uppercased)</t>
        </is>
      </c>
      <c r="F281" s="4" t="inlineStr">
        <is>
          <t>Heading</t>
        </is>
      </c>
      <c r="G281" s="4" t="inlineStr">
        <is>
          <t>Missing</t>
        </is>
      </c>
      <c r="H281" s="4" t="inlineStr"/>
      <c r="I281" s="4" t="inlineStr"/>
    </row>
    <row r="282" ht="31" customHeight="1">
      <c r="A282" s="17" t="inlineStr">
        <is>
          <t>notifications_unread_cd</t>
        </is>
      </c>
      <c r="B282" s="4" t="inlineStr">
        <is>
          <t>feature:settings · strings.xml</t>
        </is>
      </c>
      <c r="C282" s="4" t="inlineStr">
        <is>
          <t>Unread</t>
        </is>
      </c>
      <c r="D282" s="63" t="inlineStr"/>
      <c r="E282" s="4" t="inlineStr">
        <is>
          <t>Unread dot</t>
        </is>
      </c>
      <c r="F282" s="4" t="inlineStr">
        <is>
          <t>A11y</t>
        </is>
      </c>
      <c r="G282" s="4" t="inlineStr">
        <is>
          <t>Missing</t>
        </is>
      </c>
      <c r="H282" s="4" t="inlineStr"/>
      <c r="I282" s="4" t="inlineStr"/>
    </row>
    <row r="283" ht="31" customHeight="1">
      <c r="A283" s="17" t="inlineStr">
        <is>
          <t>story_1.title</t>
        </is>
      </c>
      <c r="B283" s="4" t="inlineStr">
        <is>
          <t>assets/mock/stories_kn.json</t>
        </is>
      </c>
      <c r="C283" s="4" t="inlineStr">
        <is>
          <t>The Little Elephant Who Shared</t>
        </is>
      </c>
      <c r="D283" s="63" t="inlineStr"/>
      <c r="E283" s="4" t="inlineStr">
        <is>
          <t>Story title</t>
        </is>
      </c>
      <c r="F283" s="4" t="inlineStr">
        <is>
          <t>Content</t>
        </is>
      </c>
      <c r="G283" s="4" t="inlineStr">
        <is>
          <t>Missing</t>
        </is>
      </c>
      <c r="H283" s="4" t="inlineStr"/>
      <c r="I283" s="4" t="inlineStr">
        <is>
          <t>Mock content – not strings.xml</t>
        </is>
      </c>
    </row>
    <row r="284" ht="31" customHeight="1">
      <c r="A284" s="17" t="inlineStr">
        <is>
          <t>story_1.synopsis</t>
        </is>
      </c>
      <c r="B284" s="4" t="inlineStr">
        <is>
          <t>assets/mock/stories_kn.json</t>
        </is>
      </c>
      <c r="C284" s="4" t="inlineStr">
        <is>
          <t>A gentle adventure about friendship, generosity, and discovering that sharing can make everyone happier.</t>
        </is>
      </c>
      <c r="D284" s="63" t="inlineStr"/>
      <c r="E284" s="4" t="inlineStr">
        <is>
          <t>Detail</t>
        </is>
      </c>
      <c r="F284" s="4" t="inlineStr">
        <is>
          <t>Content</t>
        </is>
      </c>
      <c r="G284" s="4" t="inlineStr">
        <is>
          <t>Missing</t>
        </is>
      </c>
      <c r="H284" s="4" t="inlineStr"/>
      <c r="I284" s="4" t="inlineStr">
        <is>
          <t>Mock content – not strings.xml</t>
        </is>
      </c>
    </row>
    <row r="285" ht="31" customHeight="1">
      <c r="A285" s="17" t="inlineStr">
        <is>
          <t>story_1.lesson</t>
        </is>
      </c>
      <c r="B285" s="4" t="inlineStr">
        <is>
          <t>assets/mock/stories_kn.json</t>
        </is>
      </c>
      <c r="C285" s="4" t="inlineStr">
        <is>
          <t>Sharing, generosity and caring for friends.</t>
        </is>
      </c>
      <c r="D285" s="63" t="inlineStr"/>
      <c r="E285" s="4" t="inlineStr">
        <is>
          <t>Detail lesson</t>
        </is>
      </c>
      <c r="F285" s="4" t="inlineStr">
        <is>
          <t>Content</t>
        </is>
      </c>
      <c r="G285" s="4" t="inlineStr">
        <is>
          <t>Missing</t>
        </is>
      </c>
      <c r="H285" s="4" t="inlineStr"/>
      <c r="I285" s="4" t="inlineStr">
        <is>
          <t>Mock content – not strings.xml</t>
        </is>
      </c>
    </row>
    <row r="286" ht="31" customHeight="1">
      <c r="A286" s="17" t="inlineStr">
        <is>
          <t>story_1.featured_blurb</t>
        </is>
      </c>
      <c r="B286" s="4" t="inlineStr">
        <is>
          <t>assets/mock/stories_kn.json</t>
        </is>
      </c>
      <c r="C286" s="4" t="inlineStr">
        <is>
          <t>A tender tale about kindness and a basket of mangoes.</t>
        </is>
      </c>
      <c r="D286" s="63" t="inlineStr"/>
      <c r="E286" s="4" t="inlineStr">
        <is>
          <t>Discover featured</t>
        </is>
      </c>
      <c r="F286" s="4" t="inlineStr">
        <is>
          <t>Content</t>
        </is>
      </c>
      <c r="G286" s="4" t="inlineStr">
        <is>
          <t>Missing</t>
        </is>
      </c>
      <c r="H286" s="4" t="inlineStr"/>
      <c r="I286" s="4" t="inlineStr">
        <is>
          <t>Mock content – not strings.xml</t>
        </is>
      </c>
    </row>
    <row r="287" ht="31" customHeight="1">
      <c r="A287" s="17" t="inlineStr">
        <is>
          <t>story_2.title</t>
        </is>
      </c>
      <c r="B287" s="4" t="inlineStr">
        <is>
          <t>assets/mock/stories_kn.json</t>
        </is>
      </c>
      <c r="C287" s="4" t="inlineStr">
        <is>
          <t>Aarav and the Magical Cricket Bat</t>
        </is>
      </c>
      <c r="D287" s="63" t="inlineStr"/>
      <c r="E287" s="4" t="inlineStr">
        <is>
          <t>Story title</t>
        </is>
      </c>
      <c r="F287" s="4" t="inlineStr">
        <is>
          <t>Content</t>
        </is>
      </c>
      <c r="G287" s="4" t="inlineStr">
        <is>
          <t>Missing</t>
        </is>
      </c>
      <c r="H287" s="4" t="inlineStr"/>
      <c r="I287" s="4" t="inlineStr">
        <is>
          <t>Mock content – not strings.xml</t>
        </is>
      </c>
    </row>
    <row r="288" ht="44.5" customHeight="1">
      <c r="A288" s="17" t="inlineStr">
        <is>
          <t>story_2.synopsis</t>
        </is>
      </c>
      <c r="B288" s="4" t="inlineStr">
        <is>
          <t>assets/mock/stories_kn.json</t>
        </is>
      </c>
      <c r="C288" s="4" t="inlineStr">
        <is>
          <t>A kind choice leads Aarav onto a moonlit cricket pitch, where helping a new friend creates the brightest magic of all.</t>
        </is>
      </c>
      <c r="D288" s="63" t="inlineStr"/>
      <c r="E288" s="4" t="inlineStr">
        <is>
          <t>Story Ready</t>
        </is>
      </c>
      <c r="F288" s="4" t="inlineStr">
        <is>
          <t>Content</t>
        </is>
      </c>
      <c r="G288" s="4" t="inlineStr">
        <is>
          <t>Missing</t>
        </is>
      </c>
      <c r="H288" s="4" t="inlineStr"/>
      <c r="I288" s="4" t="inlineStr">
        <is>
          <t>Mock content – not strings.xml</t>
        </is>
      </c>
    </row>
    <row r="289" ht="31" customHeight="1">
      <c r="A289" s="17" t="inlineStr">
        <is>
          <t>story_2.pages[0..4]</t>
        </is>
      </c>
      <c r="B289" s="4" t="inlineStr">
        <is>
          <t>assets/mock/stories_kn.json</t>
        </is>
      </c>
      <c r="C289" s="4" t="inlineStr">
        <is>
          <t>5 paragraphs (see prototype storyParagraphs)</t>
        </is>
      </c>
      <c r="D289" s="63" t="inlineStr"/>
      <c r="E289" s="4" t="inlineStr">
        <is>
          <t>Reader</t>
        </is>
      </c>
      <c r="F289" s="4" t="inlineStr">
        <is>
          <t>Content – long</t>
        </is>
      </c>
      <c r="G289" s="4" t="inlineStr">
        <is>
          <t>Missing</t>
        </is>
      </c>
      <c r="H289" s="4" t="inlineStr"/>
      <c r="I289" s="4" t="inlineStr">
        <is>
          <t>Mock content – not strings.xml</t>
        </is>
      </c>
    </row>
    <row r="290" ht="31" customHeight="1">
      <c r="A290" s="17" t="inlineStr">
        <is>
          <t>story_3.title</t>
        </is>
      </c>
      <c r="B290" s="4" t="inlineStr">
        <is>
          <t>assets/mock/stories_kn.json</t>
        </is>
      </c>
      <c r="C290" s="4" t="inlineStr">
        <is>
          <t>Mira and the Moonlit Garden</t>
        </is>
      </c>
      <c r="D290" s="63" t="inlineStr"/>
      <c r="E290" s="4" t="inlineStr">
        <is>
          <t>Story title</t>
        </is>
      </c>
      <c r="F290" s="4" t="inlineStr">
        <is>
          <t>Content</t>
        </is>
      </c>
      <c r="G290" s="4" t="inlineStr">
        <is>
          <t>Missing</t>
        </is>
      </c>
      <c r="H290" s="4" t="inlineStr"/>
      <c r="I290" s="4" t="inlineStr">
        <is>
          <t>Mock content – not strings.xml</t>
        </is>
      </c>
    </row>
    <row r="291" ht="31" customHeight="1">
      <c r="A291" s="17" t="inlineStr">
        <is>
          <t>story_4.title</t>
        </is>
      </c>
      <c r="B291" s="4" t="inlineStr">
        <is>
          <t>assets/mock/stories_kn.json</t>
        </is>
      </c>
      <c r="C291" s="4" t="inlineStr">
        <is>
          <t>The Banyan Tree’s Secret</t>
        </is>
      </c>
      <c r="D291" s="63" t="inlineStr"/>
      <c r="E291" s="4" t="inlineStr">
        <is>
          <t>Story title</t>
        </is>
      </c>
      <c r="F291" s="4" t="inlineStr">
        <is>
          <t>Content</t>
        </is>
      </c>
      <c r="G291" s="4" t="inlineStr">
        <is>
          <t>Missing</t>
        </is>
      </c>
      <c r="H291" s="4" t="inlineStr"/>
      <c r="I291" s="4" t="inlineStr">
        <is>
          <t>Mock content – not strings.xml</t>
        </is>
      </c>
    </row>
    <row r="292" ht="31" customHeight="1">
      <c r="A292" s="17" t="inlineStr">
        <is>
          <t>story_5.title</t>
        </is>
      </c>
      <c r="B292" s="4" t="inlineStr">
        <is>
          <t>assets/mock/stories_kn.json</t>
        </is>
      </c>
      <c r="C292" s="4" t="inlineStr">
        <is>
          <t>Ananya’s Journey to the Stars</t>
        </is>
      </c>
      <c r="D292" s="63" t="inlineStr"/>
      <c r="E292" s="4" t="inlineStr">
        <is>
          <t>Story title</t>
        </is>
      </c>
      <c r="F292" s="4" t="inlineStr">
        <is>
          <t>Content</t>
        </is>
      </c>
      <c r="G292" s="4" t="inlineStr">
        <is>
          <t>Missing</t>
        </is>
      </c>
      <c r="H292" s="4" t="inlineStr"/>
      <c r="I292" s="4" t="inlineStr">
        <is>
          <t>Mock content – not strings.xml</t>
        </is>
      </c>
    </row>
    <row r="293" ht="31" customHeight="1">
      <c r="A293" s="17" t="inlineStr">
        <is>
          <t>story_6.title</t>
        </is>
      </c>
      <c r="B293" s="4" t="inlineStr">
        <is>
          <t>assets/mock/stories_kn.json</t>
        </is>
      </c>
      <c r="C293" s="4" t="inlineStr">
        <is>
          <t>The Lanterns of Jaipur</t>
        </is>
      </c>
      <c r="D293" s="63" t="inlineStr"/>
      <c r="E293" s="4" t="inlineStr">
        <is>
          <t>Story title</t>
        </is>
      </c>
      <c r="F293" s="4" t="inlineStr">
        <is>
          <t>Content</t>
        </is>
      </c>
      <c r="G293" s="4" t="inlineStr">
        <is>
          <t>Missing</t>
        </is>
      </c>
      <c r="H293" s="4" t="inlineStr"/>
      <c r="I293" s="4" t="inlineStr">
        <is>
          <t>Mock content – not strings.xml</t>
        </is>
      </c>
    </row>
    <row r="294" ht="31" customHeight="1">
      <c r="A294" s="17" t="inlineStr">
        <is>
          <t>notif_1.title / body</t>
        </is>
      </c>
      <c r="B294" s="4" t="inlineStr">
        <is>
          <t>assets/mock/notifications_kn.json</t>
        </is>
      </c>
      <c r="C294" s="4" t="inlineStr">
        <is>
          <t>Your new story is ready / Aarav and the Magical Cricket Bat is waiting for bedtime.</t>
        </is>
      </c>
      <c r="D294" s="63" t="inlineStr"/>
      <c r="E294" s="4" t="inlineStr">
        <is>
          <t>Notifications</t>
        </is>
      </c>
      <c r="F294" s="4" t="inlineStr">
        <is>
          <t>Content</t>
        </is>
      </c>
      <c r="G294" s="4" t="inlineStr">
        <is>
          <t>Missing</t>
        </is>
      </c>
      <c r="H294" s="4" t="inlineStr"/>
      <c r="I294" s="4" t="inlineStr">
        <is>
          <t>Mock content – not strings.xml</t>
        </is>
      </c>
    </row>
    <row r="295" ht="31" customHeight="1">
      <c r="A295" s="17" t="inlineStr">
        <is>
          <t>notif_2.title / body</t>
        </is>
      </c>
      <c r="B295" s="4" t="inlineStr">
        <is>
          <t>assets/mock/notifications_kn.json</t>
        </is>
      </c>
      <c r="C295" s="4" t="inlineStr">
        <is>
          <t>Storytime is at 8:30 PM / Slow down together with a calm bedtime favourite.</t>
        </is>
      </c>
      <c r="D295" s="63" t="inlineStr"/>
      <c r="E295" s="4" t="inlineStr">
        <is>
          <t>Notifications</t>
        </is>
      </c>
      <c r="F295" s="4" t="inlineStr">
        <is>
          <t>Content</t>
        </is>
      </c>
      <c r="G295" s="4" t="inlineStr">
        <is>
          <t>Missing</t>
        </is>
      </c>
      <c r="H295" s="4" t="inlineStr"/>
      <c r="I295" s="4" t="inlineStr">
        <is>
          <t>Mock content – not strings.xml</t>
        </is>
      </c>
    </row>
    <row r="296" ht="31" customHeight="1">
      <c r="A296" s="17" t="inlineStr">
        <is>
          <t>notif_3.title / body</t>
        </is>
      </c>
      <c r="B296" s="4" t="inlineStr">
        <is>
          <t>assets/mock/notifications_kn.json</t>
        </is>
      </c>
      <c r="C296" s="4" t="inlineStr">
        <is>
          <t>Fresh tales from India / Three new stories about friendship, family and wonder.</t>
        </is>
      </c>
      <c r="D296" s="63" t="inlineStr"/>
      <c r="E296" s="4" t="inlineStr">
        <is>
          <t>Notifications</t>
        </is>
      </c>
      <c r="F296" s="4" t="inlineStr">
        <is>
          <t>Content</t>
        </is>
      </c>
      <c r="G296" s="4" t="inlineStr">
        <is>
          <t>Missing</t>
        </is>
      </c>
      <c r="H296" s="4" t="inlineStr"/>
      <c r="I296" s="4" t="inlineStr">
        <is>
          <t>Mock content – not strings.xml</t>
        </is>
      </c>
    </row>
  </sheetData>
  <autoFilter ref="A1:I296"/>
  <conditionalFormatting sqref="G2:G396">
    <cfRule type="cellIs" priority="1" operator="equal" dxfId="9">
      <formula>"Approved"</formula>
    </cfRule>
    <cfRule type="cellIs" priority="2" operator="equal" dxfId="3">
      <formula>"Missing"</formula>
    </cfRule>
    <cfRule type="cellIs" priority="3" operator="equal" dxfId="1">
      <formula>"Needs native review"</formula>
    </cfRule>
    <cfRule type="cellIs" priority="4" operator="equal" dxfId="1">
      <formula>"Draft"</formula>
    </cfRule>
  </conditionalFormatting>
  <dataValidations count="1">
    <dataValidation sqref="G2:G396" showDropDown="0" showInputMessage="0" showErrorMessage="0" allowBlank="1" type="list">
      <formula1>=Lists!$I$2:$I$6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4B388B"/>
    <outlinePr summaryBelow="1" summaryRight="1"/>
    <pageSetUpPr/>
  </sheetPr>
  <dimension ref="A1:F25"/>
  <sheetViews>
    <sheetView zoomScale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58" customWidth="1" min="2" max="2"/>
    <col width="34" customWidth="1" min="3" max="3"/>
    <col width="9" customWidth="1" min="4" max="4"/>
    <col width="26" customWidth="1" min="5" max="5"/>
    <col width="22" customWidth="1" min="6" max="6"/>
  </cols>
  <sheetData>
    <row r="1" ht="32" customHeight="1">
      <c r="A1" s="20" t="inlineStr">
        <is>
          <t>Prompt File</t>
        </is>
      </c>
      <c r="B1" s="20" t="inlineStr">
        <is>
          <t>Path in Repo</t>
        </is>
      </c>
      <c r="C1" s="20" t="inlineStr">
        <is>
          <t>Purpose</t>
        </is>
      </c>
      <c r="D1" s="20" t="inlineStr">
        <is>
          <t>Phase</t>
        </is>
      </c>
      <c r="E1" s="20" t="inlineStr">
        <is>
          <t>Used By</t>
        </is>
      </c>
      <c r="F1" s="20" t="inlineStr">
        <is>
          <t>Status</t>
        </is>
      </c>
    </row>
    <row r="2" ht="18" customHeight="1">
      <c r="A2" s="17" t="inlineStr">
        <is>
          <t>00_MASTER_ORCHESTRATOR_PROMPT.md</t>
        </is>
      </c>
      <c r="B2" s="4" t="inlineStr">
        <is>
          <t>prompts/00_MASTER_ORCHESTRATOR_PROMPT.md</t>
        </is>
      </c>
      <c r="C2" s="4" t="inlineStr">
        <is>
          <t>Master orchestration</t>
        </is>
      </c>
      <c r="D2" s="4" t="inlineStr">
        <is>
          <t>All</t>
        </is>
      </c>
      <c r="E2" s="4" t="inlineStr">
        <is>
          <t>Governs every other prompt</t>
        </is>
      </c>
      <c r="F2" s="4" t="inlineStr">
        <is>
          <t>To create (LS-006)</t>
        </is>
      </c>
    </row>
    <row r="3" ht="18" customHeight="1">
      <c r="A3" s="17" t="inlineStr">
        <is>
          <t>01_REPOSITORY_DISCOVERY_PROMPT.md</t>
        </is>
      </c>
      <c r="B3" s="4" t="inlineStr">
        <is>
          <t>prompts/01_REPOSITORY_DISCOVERY_PROMPT.md</t>
        </is>
      </c>
      <c r="C3" s="4" t="inlineStr">
        <is>
          <t>Repository discovery</t>
        </is>
      </c>
      <c r="D3" s="4" t="inlineStr">
        <is>
          <t>P0</t>
        </is>
      </c>
      <c r="E3" s="4" t="inlineStr">
        <is>
          <t>LS-001</t>
        </is>
      </c>
      <c r="F3" s="4" t="inlineStr">
        <is>
          <t>To create (LS-006)</t>
        </is>
      </c>
    </row>
    <row r="4" ht="18" customHeight="1">
      <c r="A4" s="17" t="inlineStr">
        <is>
          <t>02_FIGMA_AUDIT_PROMPT.md</t>
        </is>
      </c>
      <c r="B4" s="4" t="inlineStr">
        <is>
          <t>prompts/02_FIGMA_AUDIT_PROMPT.md</t>
        </is>
      </c>
      <c r="C4" s="4" t="inlineStr">
        <is>
          <t>Figma / design-pack audit</t>
        </is>
      </c>
      <c r="D4" s="4" t="inlineStr">
        <is>
          <t>P0</t>
        </is>
      </c>
      <c r="E4" s="4" t="inlineStr">
        <is>
          <t>LS-002</t>
        </is>
      </c>
      <c r="F4" s="4" t="inlineStr">
        <is>
          <t>To create (LS-006)</t>
        </is>
      </c>
    </row>
    <row r="5" ht="18" customHeight="1">
      <c r="A5" s="17" t="inlineStr">
        <is>
          <t>03_REQUIREMENTS_AND_EDGE_CASES_PROMPT.md</t>
        </is>
      </c>
      <c r="B5" s="4" t="inlineStr">
        <is>
          <t>prompts/03_REQUIREMENTS_AND_EDGE_CASES_PROMPT.md</t>
        </is>
      </c>
      <c r="C5" s="4" t="inlineStr">
        <is>
          <t>Requirements analysis</t>
        </is>
      </c>
      <c r="D5" s="4" t="inlineStr">
        <is>
          <t>P1</t>
        </is>
      </c>
      <c r="E5" s="4" t="inlineStr">
        <is>
          <t>LS-003</t>
        </is>
      </c>
      <c r="F5" s="4" t="inlineStr">
        <is>
          <t>To create (LS-006)</t>
        </is>
      </c>
    </row>
    <row r="6" ht="18" customHeight="1">
      <c r="A6" s="17" t="inlineStr">
        <is>
          <t>04_ARCHITECTURE_DESIGN_PROMPT.md</t>
        </is>
      </c>
      <c r="B6" s="4" t="inlineStr">
        <is>
          <t>prompts/04_ARCHITECTURE_DESIGN_PROMPT.md</t>
        </is>
      </c>
      <c r="C6" s="4" t="inlineStr">
        <is>
          <t>Architecture design &amp; ADRs</t>
        </is>
      </c>
      <c r="D6" s="4" t="inlineStr">
        <is>
          <t>P1</t>
        </is>
      </c>
      <c r="E6" s="4" t="inlineStr">
        <is>
          <t>LS-008</t>
        </is>
      </c>
      <c r="F6" s="4" t="inlineStr">
        <is>
          <t>To create (LS-006)</t>
        </is>
      </c>
    </row>
    <row r="7" ht="18" customHeight="1">
      <c r="A7" s="17" t="inlineStr">
        <is>
          <t>05_JIRA_BACKLOG_GENERATION_PROMPT.md</t>
        </is>
      </c>
      <c r="B7" s="4" t="inlineStr">
        <is>
          <t>prompts/05_JIRA_BACKLOG_GENERATION_PROMPT.md</t>
        </is>
      </c>
      <c r="C7" s="4" t="inlineStr">
        <is>
          <t>Backlog generation / update</t>
        </is>
      </c>
      <c r="D7" s="4" t="inlineStr">
        <is>
          <t>P1</t>
        </is>
      </c>
      <c r="E7" s="4" t="inlineStr">
        <is>
          <t>This workbook</t>
        </is>
      </c>
      <c r="F7" s="4" t="inlineStr">
        <is>
          <t>To create (LS-006)</t>
        </is>
      </c>
    </row>
    <row r="8" ht="18" customHeight="1">
      <c r="A8" s="17" t="inlineStr">
        <is>
          <t>06_PHASE_EXECUTION_PROMPT.md</t>
        </is>
      </c>
      <c r="B8" s="4" t="inlineStr">
        <is>
          <t>prompts/06_PHASE_EXECUTION_PROMPT.md</t>
        </is>
      </c>
      <c r="C8" s="4" t="inlineStr">
        <is>
          <t>Phase execution</t>
        </is>
      </c>
      <c r="D8" s="4" t="inlineStr">
        <is>
          <t>P2–P8</t>
        </is>
      </c>
      <c r="E8" s="4" t="inlineStr">
        <is>
          <t>Phase kick-off</t>
        </is>
      </c>
      <c r="F8" s="4" t="inlineStr">
        <is>
          <t>To create (LS-006)</t>
        </is>
      </c>
    </row>
    <row r="9" ht="18" customHeight="1">
      <c r="A9" s="17" t="inlineStr">
        <is>
          <t>07_TICKET_IMPLEMENTATION_TEMPLATE.md</t>
        </is>
      </c>
      <c r="B9" s="4" t="inlineStr">
        <is>
          <t>prompts/07_TICKET_IMPLEMENTATION_TEMPLATE.md</t>
        </is>
      </c>
      <c r="C9" s="4" t="inlineStr">
        <is>
          <t>Ticket implementation</t>
        </is>
      </c>
      <c r="D9" s="4" t="inlineStr">
        <is>
          <t>P2–P8</t>
        </is>
      </c>
      <c r="E9" s="4" t="inlineStr">
        <is>
          <t>Every ticket</t>
        </is>
      </c>
      <c r="F9" s="4" t="inlineStr">
        <is>
          <t>To create (LS-006)</t>
        </is>
      </c>
    </row>
    <row r="10" ht="18" customHeight="1">
      <c r="A10" s="17" t="inlineStr">
        <is>
          <t>08_COMPOSE_UI_IMPLEMENTATION_PROMPT.md</t>
        </is>
      </c>
      <c r="B10" s="4" t="inlineStr">
        <is>
          <t>prompts/08_COMPOSE_UI_IMPLEMENTATION_PROMPT.md</t>
        </is>
      </c>
      <c r="C10" s="4" t="inlineStr">
        <is>
          <t>Compose UI implementation</t>
        </is>
      </c>
      <c r="D10" s="4" t="inlineStr">
        <is>
          <t>P2–P6</t>
        </is>
      </c>
      <c r="E10" s="4" t="inlineStr">
        <is>
          <t>UI tickets</t>
        </is>
      </c>
      <c r="F10" s="4" t="inlineStr">
        <is>
          <t>To create (LS-006)</t>
        </is>
      </c>
    </row>
    <row r="11" ht="18" customHeight="1">
      <c r="A11" s="17" t="inlineStr">
        <is>
          <t>09_VISUAL_REGRESSION_PROMPT.md</t>
        </is>
      </c>
      <c r="B11" s="4" t="inlineStr">
        <is>
          <t>prompts/09_VISUAL_REGRESSION_PROMPT.md</t>
        </is>
      </c>
      <c r="C11" s="4" t="inlineStr">
        <is>
          <t>Visual regression</t>
        </is>
      </c>
      <c r="D11" s="4" t="inlineStr">
        <is>
          <t>P7</t>
        </is>
      </c>
      <c r="E11" s="4" t="inlineStr">
        <is>
          <t>LS-122, LS-124</t>
        </is>
      </c>
      <c r="F11" s="4" t="inlineStr">
        <is>
          <t>To create (LS-006)</t>
        </is>
      </c>
    </row>
    <row r="12" ht="18" customHeight="1">
      <c r="A12" s="17" t="inlineStr">
        <is>
          <t>10_INTEGRATION_TESTING_PROMPT.md</t>
        </is>
      </c>
      <c r="B12" s="4" t="inlineStr">
        <is>
          <t>prompts/10_INTEGRATION_TESTING_PROMPT.md</t>
        </is>
      </c>
      <c r="C12" s="4" t="inlineStr">
        <is>
          <t>Integration testing</t>
        </is>
      </c>
      <c r="D12" s="4" t="inlineStr">
        <is>
          <t>P7</t>
        </is>
      </c>
      <c r="E12" s="4" t="inlineStr">
        <is>
          <t>LS-121</t>
        </is>
      </c>
      <c r="F12" s="4" t="inlineStr">
        <is>
          <t>To create (LS-006)</t>
        </is>
      </c>
    </row>
    <row r="13" ht="18" customHeight="1">
      <c r="A13" s="17" t="inlineStr">
        <is>
          <t>11_ACCESSIBILITY_REVIEW_PROMPT.md</t>
        </is>
      </c>
      <c r="B13" s="4" t="inlineStr">
        <is>
          <t>prompts/11_ACCESSIBILITY_REVIEW_PROMPT.md</t>
        </is>
      </c>
      <c r="C13" s="4" t="inlineStr">
        <is>
          <t>Accessibility review</t>
        </is>
      </c>
      <c r="D13" s="4" t="inlineStr">
        <is>
          <t>P7</t>
        </is>
      </c>
      <c r="E13" s="4" t="inlineStr">
        <is>
          <t>LS-123</t>
        </is>
      </c>
      <c r="F13" s="4" t="inlineStr">
        <is>
          <t>To create (LS-006)</t>
        </is>
      </c>
    </row>
    <row r="14" ht="18" customHeight="1">
      <c r="A14" s="17" t="inlineStr">
        <is>
          <t>12_SECURITY_REVIEW_PROMPT.md</t>
        </is>
      </c>
      <c r="B14" s="4" t="inlineStr">
        <is>
          <t>prompts/12_SECURITY_REVIEW_PROMPT.md</t>
        </is>
      </c>
      <c r="C14" s="4" t="inlineStr">
        <is>
          <t>Security review</t>
        </is>
      </c>
      <c r="D14" s="4" t="inlineStr">
        <is>
          <t>P7</t>
        </is>
      </c>
      <c r="E14" s="4" t="inlineStr">
        <is>
          <t>LS-126</t>
        </is>
      </c>
      <c r="F14" s="4" t="inlineStr">
        <is>
          <t>To create (LS-006)</t>
        </is>
      </c>
    </row>
    <row r="15" ht="18" customHeight="1">
      <c r="A15" s="17" t="inlineStr">
        <is>
          <t>13_CODE_REVIEW_PROMPT.md</t>
        </is>
      </c>
      <c r="B15" s="4" t="inlineStr">
        <is>
          <t>prompts/13_CODE_REVIEW_PROMPT.md</t>
        </is>
      </c>
      <c r="C15" s="4" t="inlineStr">
        <is>
          <t>PR / code review</t>
        </is>
      </c>
      <c r="D15" s="4" t="inlineStr">
        <is>
          <t>All</t>
        </is>
      </c>
      <c r="E15" s="4" t="inlineStr">
        <is>
          <t>Every PR</t>
        </is>
      </c>
      <c r="F15" s="4" t="inlineStr">
        <is>
          <t>To create (LS-006)</t>
        </is>
      </c>
    </row>
    <row r="16" ht="18" customHeight="1">
      <c r="A16" s="17" t="inlineStr">
        <is>
          <t>14_CI_DIAGNOSTICS_PROMPT.md</t>
        </is>
      </c>
      <c r="B16" s="4" t="inlineStr">
        <is>
          <t>prompts/14_CI_DIAGNOSTICS_PROMPT.md</t>
        </is>
      </c>
      <c r="C16" s="4" t="inlineStr">
        <is>
          <t>CI repair</t>
        </is>
      </c>
      <c r="D16" s="4" t="inlineStr">
        <is>
          <t>All</t>
        </is>
      </c>
      <c r="E16" s="4" t="inlineStr">
        <is>
          <t>CI failures</t>
        </is>
      </c>
      <c r="F16" s="4" t="inlineStr">
        <is>
          <t>To create (LS-006)</t>
        </is>
      </c>
    </row>
    <row r="17" ht="18" customHeight="1">
      <c r="A17" s="17" t="inlineStr">
        <is>
          <t>15_PR_PREPARATION_PROMPT.md</t>
        </is>
      </c>
      <c r="B17" s="4" t="inlineStr">
        <is>
          <t>prompts/15_PR_PREPARATION_PROMPT.md</t>
        </is>
      </c>
      <c r="C17" s="4" t="inlineStr">
        <is>
          <t>PR preparation</t>
        </is>
      </c>
      <c r="D17" s="4" t="inlineStr">
        <is>
          <t>All</t>
        </is>
      </c>
      <c r="E17" s="4" t="inlineStr">
        <is>
          <t>Every PR</t>
        </is>
      </c>
      <c r="F17" s="4" t="inlineStr">
        <is>
          <t>To create (LS-006)</t>
        </is>
      </c>
    </row>
    <row r="18" ht="18" customHeight="1">
      <c r="A18" s="17" t="inlineStr">
        <is>
          <t>16_POST_MERGE_VERIFICATION_PROMPT.md</t>
        </is>
      </c>
      <c r="B18" s="4" t="inlineStr">
        <is>
          <t>prompts/16_POST_MERGE_VERIFICATION_PROMPT.md</t>
        </is>
      </c>
      <c r="C18" s="4" t="inlineStr">
        <is>
          <t>Post-merge verification</t>
        </is>
      </c>
      <c r="D18" s="4" t="inlineStr">
        <is>
          <t>All</t>
        </is>
      </c>
      <c r="E18" s="4" t="inlineStr">
        <is>
          <t>After each merge</t>
        </is>
      </c>
      <c r="F18" s="4" t="inlineStr">
        <is>
          <t>To create (LS-006)</t>
        </is>
      </c>
    </row>
    <row r="19" ht="18" customHeight="1">
      <c r="A19" s="17" t="inlineStr">
        <is>
          <t>17_RELEASE_READINESS_PROMPT.md</t>
        </is>
      </c>
      <c r="B19" s="4" t="inlineStr">
        <is>
          <t>prompts/17_RELEASE_READINESS_PROMPT.md</t>
        </is>
      </c>
      <c r="C19" s="4" t="inlineStr">
        <is>
          <t>Release readiness</t>
        </is>
      </c>
      <c r="D19" s="4" t="inlineStr">
        <is>
          <t>P8</t>
        </is>
      </c>
      <c r="E19" s="4" t="inlineStr">
        <is>
          <t>LS-133</t>
        </is>
      </c>
      <c r="F19" s="4" t="inlineStr">
        <is>
          <t>To create (LS-006)</t>
        </is>
      </c>
    </row>
    <row r="20" ht="18" customHeight="1">
      <c r="A20" s="17" t="inlineStr">
        <is>
          <t>18_BACKEND_INTEGRATION_PLANNING_PROMPT.md</t>
        </is>
      </c>
      <c r="B20" s="4" t="inlineStr">
        <is>
          <t>prompts/18_BACKEND_INTEGRATION_PLANNING_PROMPT.md</t>
        </is>
      </c>
      <c r="C20" s="4" t="inlineStr">
        <is>
          <t>Backend planning</t>
        </is>
      </c>
      <c r="D20" s="4" t="inlineStr">
        <is>
          <t>P8</t>
        </is>
      </c>
      <c r="E20" s="4" t="inlineStr">
        <is>
          <t>LS-140, LS-141</t>
        </is>
      </c>
      <c r="F20" s="4" t="inlineStr">
        <is>
          <t>To create (LS-006)</t>
        </is>
      </c>
    </row>
    <row r="21" ht="18" customHeight="1">
      <c r="A21" s="17" t="inlineStr">
        <is>
          <t>19_LOCALIZATION_REVIEW_PROMPT.md</t>
        </is>
      </c>
      <c r="B21" s="4" t="inlineStr">
        <is>
          <t>prompts/19_LOCALIZATION_REVIEW_PROMPT.md</t>
        </is>
      </c>
      <c r="C21" s="4" t="inlineStr">
        <is>
          <t>Localization review</t>
        </is>
      </c>
      <c r="D21" s="4" t="inlineStr">
        <is>
          <t>P6–P7</t>
        </is>
      </c>
      <c r="E21" s="4" t="inlineStr">
        <is>
          <t>LS-043, LS-047</t>
        </is>
      </c>
      <c r="F21" s="4" t="inlineStr">
        <is>
          <t>To create (LS-006)</t>
        </is>
      </c>
    </row>
    <row r="22" ht="18" customHeight="1">
      <c r="A22" s="17" t="inlineStr">
        <is>
          <t>20_ADD_NEW_LANGUAGE_PROMPT.md</t>
        </is>
      </c>
      <c r="B22" s="4" t="inlineStr">
        <is>
          <t>prompts/20_ADD_NEW_LANGUAGE_PROMPT.md</t>
        </is>
      </c>
      <c r="C22" s="4" t="inlineStr">
        <is>
          <t>Add a new language</t>
        </is>
      </c>
      <c r="D22" s="4" t="inlineStr">
        <is>
          <t>Future</t>
        </is>
      </c>
      <c r="E22" s="4" t="inlineStr">
        <is>
          <t>LS-048</t>
        </is>
      </c>
      <c r="F22" s="4" t="inlineStr">
        <is>
          <t>To create (LS-006)</t>
        </is>
      </c>
    </row>
    <row r="23" ht="18" customHeight="1">
      <c r="A23" s="17" t="inlineStr">
        <is>
          <t>21_MAINTAINABILITY_AND_HARDCODING_REVIEW_PROMPT.md</t>
        </is>
      </c>
      <c r="B23" s="4" t="inlineStr">
        <is>
          <t>prompts/21_MAINTAINABILITY_AND_HARDCODING_REVIEW_PROMPT.md</t>
        </is>
      </c>
      <c r="C23" s="4" t="inlineStr">
        <is>
          <t>Maintainability / hardcoding review</t>
        </is>
      </c>
      <c r="D23" s="4" t="inlineStr">
        <is>
          <t>P7</t>
        </is>
      </c>
      <c r="E23" s="4" t="inlineStr">
        <is>
          <t>LS-125</t>
        </is>
      </c>
      <c r="F23" s="4" t="inlineStr">
        <is>
          <t>To create (LS-006)</t>
        </is>
      </c>
    </row>
    <row r="24" ht="18" customHeight="1">
      <c r="A24" s="17" t="inlineStr">
        <is>
          <t>LS-###.md (one per ticket)</t>
        </is>
      </c>
      <c r="B24" s="4" t="inlineStr">
        <is>
          <t>prompts/tickets/LS-###.md</t>
        </is>
      </c>
      <c r="C24" s="4" t="inlineStr">
        <is>
          <t>Per-ticket implementation prompt</t>
        </is>
      </c>
      <c r="D24" s="4" t="inlineStr">
        <is>
          <t>P2–P8</t>
        </is>
      </c>
      <c r="E24" s="4" t="inlineStr">
        <is>
          <t>Every ticket</t>
        </is>
      </c>
      <c r="F24" s="4" t="inlineStr">
        <is>
          <t>To create (LS-006)</t>
        </is>
      </c>
    </row>
    <row r="25" ht="31" customHeight="1">
      <c r="A25" s="17" t="inlineStr">
        <is>
          <t>Master orchestrator (this project)</t>
        </is>
      </c>
      <c r="B25" s="4" t="inlineStr">
        <is>
          <t>LittleStory_Master_Orchestrator_Prompt.md</t>
        </is>
      </c>
      <c r="C25" s="4" t="inlineStr">
        <is>
          <t>Source of truth for all prompts</t>
        </is>
      </c>
      <c r="D25" s="4" t="inlineStr">
        <is>
          <t>All</t>
        </is>
      </c>
      <c r="E25" s="4" t="inlineStr">
        <is>
          <t>Orchestrator</t>
        </is>
      </c>
      <c r="F25" s="4" t="inlineStr">
        <is>
          <t>Exists – copy to prompts/00_…</t>
        </is>
      </c>
    </row>
  </sheetData>
  <autoFilter ref="A1:F2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0"/>
  <sheetViews>
    <sheetView zoomScale="100" workbookViewId="0">
      <selection activeCell="A1" sqref="A1"/>
    </sheetView>
  </sheetViews>
  <sheetFormatPr baseColWidth="8" defaultRowHeight="15"/>
  <sheetData>
    <row r="1">
      <c r="A1" s="64" t="inlineStr">
        <is>
          <t>Status</t>
        </is>
      </c>
      <c r="B1" s="64" t="inlineStr">
        <is>
          <t>Priority</t>
        </is>
      </c>
      <c r="C1" s="64" t="inlineStr">
        <is>
          <t>MoSCoW</t>
        </is>
      </c>
      <c r="D1" s="64" t="inlineStr">
        <is>
          <t>Phase</t>
        </is>
      </c>
      <c r="E1" s="64" t="inlineStr">
        <is>
          <t>Type</t>
        </is>
      </c>
      <c r="F1" s="64" t="inlineStr">
        <is>
          <t>Parallel</t>
        </is>
      </c>
      <c r="G1" s="64" t="inlineStr">
        <is>
          <t>Conflict</t>
        </is>
      </c>
      <c r="H1" s="64" t="inlineStr">
        <is>
          <t>L10n</t>
        </is>
      </c>
      <c r="I1" s="64" t="inlineStr">
        <is>
          <t>KN</t>
        </is>
      </c>
      <c r="J1" s="64" t="inlineStr">
        <is>
          <t>Result</t>
        </is>
      </c>
      <c r="K1" s="64" t="inlineStr">
        <is>
          <t>Check</t>
        </is>
      </c>
      <c r="L1" s="64" t="inlineStr">
        <is>
          <t>Risk</t>
        </is>
      </c>
      <c r="M1" s="64" t="inlineStr">
        <is>
          <t>DesignStatus</t>
        </is>
      </c>
      <c r="N1" s="64" t="inlineStr">
        <is>
          <t>ImplStatus</t>
        </is>
      </c>
    </row>
    <row r="2">
      <c r="A2" t="inlineStr">
        <is>
          <t>To Do</t>
        </is>
      </c>
      <c r="B2" t="inlineStr">
        <is>
          <t>Highest</t>
        </is>
      </c>
      <c r="C2" t="inlineStr">
        <is>
          <t>Must</t>
        </is>
      </c>
      <c r="D2" t="inlineStr">
        <is>
          <t>P0</t>
        </is>
      </c>
      <c r="E2" t="inlineStr">
        <is>
          <t>Epic</t>
        </is>
      </c>
      <c r="F2" t="inlineStr">
        <is>
          <t>Yes</t>
        </is>
      </c>
      <c r="G2" t="inlineStr">
        <is>
          <t>Low</t>
        </is>
      </c>
      <c r="H2" t="inlineStr">
        <is>
          <t>None</t>
        </is>
      </c>
      <c r="I2" t="inlineStr">
        <is>
          <t>N/A</t>
        </is>
      </c>
      <c r="J2" t="inlineStr">
        <is>
          <t>Not run</t>
        </is>
      </c>
      <c r="K2" t="inlineStr">
        <is>
          <t>Not started</t>
        </is>
      </c>
      <c r="L2" t="inlineStr">
        <is>
          <t>Low</t>
        </is>
      </c>
      <c r="M2" t="inlineStr">
        <is>
          <t>Design Ready</t>
        </is>
      </c>
      <c r="N2" t="inlineStr">
        <is>
          <t>Not started</t>
        </is>
      </c>
    </row>
    <row r="3">
      <c r="A3" t="inlineStr">
        <is>
          <t>In Progress</t>
        </is>
      </c>
      <c r="B3" t="inlineStr">
        <is>
          <t>High</t>
        </is>
      </c>
      <c r="C3" t="inlineStr">
        <is>
          <t>Should</t>
        </is>
      </c>
      <c r="D3" t="inlineStr">
        <is>
          <t>P1</t>
        </is>
      </c>
      <c r="E3" t="inlineStr">
        <is>
          <t>Story</t>
        </is>
      </c>
      <c r="F3" t="inlineStr">
        <is>
          <t>No</t>
        </is>
      </c>
      <c r="G3" t="inlineStr">
        <is>
          <t>Medium</t>
        </is>
      </c>
      <c r="H3" t="inlineStr">
        <is>
          <t>New strings</t>
        </is>
      </c>
      <c r="I3" t="inlineStr">
        <is>
          <t>Missing</t>
        </is>
      </c>
      <c r="J3" t="inlineStr">
        <is>
          <t>Pass</t>
        </is>
      </c>
      <c r="K3" t="inlineStr">
        <is>
          <t>Pending</t>
        </is>
      </c>
      <c r="L3" t="inlineStr">
        <is>
          <t>Medium</t>
        </is>
      </c>
      <c r="M3" t="inlineStr">
        <is>
          <t>Design Ready (spec only)</t>
        </is>
      </c>
      <c r="N3" t="inlineStr">
        <is>
          <t>In progress</t>
        </is>
      </c>
    </row>
    <row r="4">
      <c r="A4" t="inlineStr">
        <is>
          <t>In Review</t>
        </is>
      </c>
      <c r="B4" t="inlineStr">
        <is>
          <t>Medium</t>
        </is>
      </c>
      <c r="C4" t="inlineStr">
        <is>
          <t>Could</t>
        </is>
      </c>
      <c r="D4" t="inlineStr">
        <is>
          <t>P2</t>
        </is>
      </c>
      <c r="E4" t="inlineStr">
        <is>
          <t>Task</t>
        </is>
      </c>
      <c r="F4" t="inlineStr">
        <is>
          <t>After deps</t>
        </is>
      </c>
      <c r="G4" t="inlineStr">
        <is>
          <t>High</t>
        </is>
      </c>
      <c r="H4" t="inlineStr">
        <is>
          <t>Content</t>
        </is>
      </c>
      <c r="I4" t="inlineStr">
        <is>
          <t>Draft</t>
        </is>
      </c>
      <c r="J4" t="inlineStr">
        <is>
          <t>Fail</t>
        </is>
      </c>
      <c r="K4" t="inlineStr">
        <is>
          <t>Pass</t>
        </is>
      </c>
      <c r="L4" t="inlineStr">
        <is>
          <t>High</t>
        </is>
      </c>
      <c r="M4" t="inlineStr">
        <is>
          <t>Design Missing</t>
        </is>
      </c>
      <c r="N4" t="inlineStr">
        <is>
          <t>Implemented</t>
        </is>
      </c>
    </row>
    <row r="5">
      <c r="A5" t="inlineStr">
        <is>
          <t>Blocked</t>
        </is>
      </c>
      <c r="B5" t="inlineStr">
        <is>
          <t>Low</t>
        </is>
      </c>
      <c r="C5" t="inlineStr">
        <is>
          <t>Won't</t>
        </is>
      </c>
      <c r="D5" t="inlineStr">
        <is>
          <t>P3</t>
        </is>
      </c>
      <c r="E5" t="inlineStr">
        <is>
          <t>Bug</t>
        </is>
      </c>
      <c r="H5" t="inlineStr">
        <is>
          <t>Layout risk</t>
        </is>
      </c>
      <c r="I5" t="inlineStr">
        <is>
          <t>Needs native review</t>
        </is>
      </c>
      <c r="J5" t="inlineStr">
        <is>
          <t>Blocked</t>
        </is>
      </c>
      <c r="K5" t="inlineStr">
        <is>
          <t>Fail</t>
        </is>
      </c>
      <c r="M5" t="inlineStr">
        <is>
          <t>Needs Figma Verification</t>
        </is>
      </c>
      <c r="N5" t="inlineStr">
        <is>
          <t>Verified</t>
        </is>
      </c>
    </row>
    <row r="6">
      <c r="A6" t="inlineStr">
        <is>
          <t>Done</t>
        </is>
      </c>
      <c r="D6" t="inlineStr">
        <is>
          <t>P4</t>
        </is>
      </c>
      <c r="E6" t="inlineStr">
        <is>
          <t>Spike</t>
        </is>
      </c>
      <c r="I6" t="inlineStr">
        <is>
          <t>Approved</t>
        </is>
      </c>
      <c r="K6" t="inlineStr">
        <is>
          <t>N/A</t>
        </is>
      </c>
    </row>
    <row r="7">
      <c r="A7" t="inlineStr">
        <is>
          <t>Needs Clarification</t>
        </is>
      </c>
      <c r="D7" t="inlineStr">
        <is>
          <t>P5</t>
        </is>
      </c>
    </row>
    <row r="8">
      <c r="D8" t="inlineStr">
        <is>
          <t>P6</t>
        </is>
      </c>
    </row>
    <row r="9">
      <c r="D9" t="inlineStr">
        <is>
          <t>P7</t>
        </is>
      </c>
    </row>
    <row r="10">
      <c r="D10" t="inlineStr">
        <is>
          <t>P8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2026-10-29T05:06:16Z</dcterms:created>
  <dcterms:modified xmlns:dcterms="http://purl.org/dc/terms/" xmlns:xsi="http://www.w3.org/2001/XMLSchema-instance" xsi:type="dcterms:W3CDTF">2026-10-29T18:00:17Z</dcterms:modified>
</cp:coreProperties>
</file>