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i\OneDrive\Desktop\PDF CA\Finacial Modelling\DCF model files\Model\"/>
    </mc:Choice>
  </mc:AlternateContent>
  <xr:revisionPtr revIDLastSave="0" documentId="13_ncr:1_{0CDD27B6-EB12-43A7-B97D-3762696404C3}" xr6:coauthVersionLast="47" xr6:coauthVersionMax="47" xr10:uidLastSave="{00000000-0000-0000-0000-000000000000}"/>
  <bookViews>
    <workbookView xWindow="-108" yWindow="-108" windowWidth="23256" windowHeight="12456" activeTab="8" xr2:uid="{1203B683-E3F8-467F-839A-308207776E10}"/>
  </bookViews>
  <sheets>
    <sheet name="Index" sheetId="14" r:id="rId1"/>
    <sheet name="Historical" sheetId="2" r:id="rId2"/>
    <sheet name="Model" sheetId="3" r:id="rId3"/>
    <sheet name="Scenarios" sheetId="4" r:id="rId4"/>
    <sheet name="Comps" sheetId="5" r:id="rId5"/>
    <sheet name="Comps_Data" sheetId="6" r:id="rId6"/>
    <sheet name="Market_Data" sheetId="8" r:id="rId7"/>
    <sheet name="WACC" sheetId="9" r:id="rId8"/>
    <sheet name="Beta" sheetId="11" r:id="rId9"/>
    <sheet name="Summary- Football Field" sheetId="12" r:id="rId10"/>
    <sheet name="Temp" sheetId="1" r:id="rId11"/>
  </sheets>
  <definedNames>
    <definedName name="__FDS_HYPERLINK_TOGGLE_STATE__" hidden="1">"ON"</definedName>
    <definedName name="_Order1" hidden="1">0</definedName>
    <definedName name="CIQWBGuid" localSheetId="0" hidden="1">"4c07ec0d-a4bd-43e1-8f7d-edc964c69827"</definedName>
    <definedName name="CIQWBGuid" localSheetId="7" hidden="1">"aad26e78-cfd9-4119-9540-fb70f389075a"</definedName>
    <definedName name="CIQWBGuid" hidden="1">"2cd8126d-26c3-430c-b7fa-a069e3a1fc62"</definedName>
    <definedName name="CIQWBInfo" hidden="1">"{ ""CIQVersion"":""9.45.614.5792"" }"</definedName>
    <definedName name="IQ_ADDIN" hidden="1">"AUTO"</definedName>
    <definedName name="IQ_AVG_PRICE_TARGET" hidden="1">"c82"</definedName>
    <definedName name="IQ_CONV_RATE" hidden="1">"c2192"</definedName>
    <definedName name="IQ_DNTM" hidden="1">700000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ST_ACT_EPS_PRIMARY" hidden="1">"c2232"</definedName>
    <definedName name="IQ_EST_EPS_SURPRISE" hidden="1">"c1635"</definedName>
    <definedName name="IQ_EST_NUM_BUY_REUT" hidden="1">"c3869"</definedName>
    <definedName name="IQ_EST_NUM_BUY_THOM" hidden="1">"c5165"</definedName>
    <definedName name="IQ_EST_NUM_HOLD_REUT" hidden="1">"c3871"</definedName>
    <definedName name="IQ_EST_NUM_HOLD_THOM" hidden="1">"c5167"</definedName>
    <definedName name="IQ_EST_NUM_OUTPERFORM_REUT" hidden="1">"c3870"</definedName>
    <definedName name="IQ_EST_NUM_OUTPERFORM_THOM" hidden="1">"c5166"</definedName>
    <definedName name="IQ_EST_NUM_SELL_REUT" hidden="1">"c3873"</definedName>
    <definedName name="IQ_EST_NUM_SELL_THOM" hidden="1">"c5169"</definedName>
    <definedName name="IQ_EST_NUM_UNDERPERFORM_REUT" hidden="1">"c3872"</definedName>
    <definedName name="IQ_EST_NUM_UNDERPERFORM_THOM" hidden="1">"c5168"</definedName>
    <definedName name="IQ_EXPENSE_CODE_" hidden="1">"test"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localSheetId="0" hidden="1">41647.7127314815</definedName>
    <definedName name="IQ_NAMES_REVISION_DATE_" localSheetId="7" hidden="1">"10/24/2020 00:37:21"</definedName>
    <definedName name="IQ_NAMES_REVISION_DATE_" hidden="1">"10/01/2018 15:52:08"</definedName>
    <definedName name="IQ_NAV_ACT_OR_EST" hidden="1">"c2225"</definedName>
    <definedName name="IQ_OG_TOTAL_OIL_PRODUCTON" hidden="1">"c2059"</definedName>
    <definedName name="IQ_OPENED55" hidden="1">1</definedName>
    <definedName name="IQ_PRIMARY_EPS_TYPE_THOM" hidden="1">"c5297"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YTDMONTH" hidden="1">130000</definedName>
    <definedName name="IQRCOMPSE5" hidden="1">#REF!</definedName>
    <definedName name="IQRWACCAnalysisBB10" localSheetId="8" hidden="1">#REF!</definedName>
    <definedName name="IQRWACCAnalysisBB10" localSheetId="0" hidden="1">#REF!</definedName>
    <definedName name="IQRWACCAnalysisBB10" localSheetId="6" hidden="1">#REF!</definedName>
    <definedName name="IQRWACCAnalysisBB10" localSheetId="7" hidden="1">#REF!</definedName>
    <definedName name="IQRWACCAnalysisBB10" hidden="1">#REF!</definedName>
    <definedName name="IQRWACCAnalysisBC10" localSheetId="8" hidden="1">#REF!</definedName>
    <definedName name="IQRWACCAnalysisBC10" localSheetId="0" hidden="1">#REF!</definedName>
    <definedName name="IQRWACCAnalysisBC10" localSheetId="6" hidden="1">#REF!</definedName>
    <definedName name="IQRWACCAnalysisBC10" localSheetId="7" hidden="1">#REF!</definedName>
    <definedName name="IQRWACCAnalysisBC10" hidden="1">#REF!</definedName>
    <definedName name="IQRWACCAnalysisBF10" localSheetId="8" hidden="1">#REF!</definedName>
    <definedName name="IQRWACCAnalysisBF10" localSheetId="0" hidden="1">#REF!</definedName>
    <definedName name="IQRWACCAnalysisBF10" localSheetId="6" hidden="1">#REF!</definedName>
    <definedName name="IQRWACCAnalysisBF10" localSheetId="7" hidden="1">#REF!</definedName>
    <definedName name="IQRWACCAnalysisBF10" hidden="1">#REF!</definedName>
    <definedName name="IQRWACCAnalysisBH10" localSheetId="8" hidden="1">#REF!</definedName>
    <definedName name="IQRWACCAnalysisBH10" localSheetId="0" hidden="1">#REF!</definedName>
    <definedName name="IQRWACCAnalysisBH10" localSheetId="6" hidden="1">#REF!</definedName>
    <definedName name="IQRWACCAnalysisBH10" localSheetId="7" hidden="1">#REF!</definedName>
    <definedName name="IQRWACCAnalysisBH10" hidden="1">#REF!</definedName>
    <definedName name="IQRWACCAnalysisBJ10" localSheetId="8" hidden="1">#REF!</definedName>
    <definedName name="IQRWACCAnalysisBJ10" localSheetId="0" hidden="1">#REF!</definedName>
    <definedName name="IQRWACCAnalysisBJ10" localSheetId="6" hidden="1">#REF!</definedName>
    <definedName name="IQRWACCAnalysisBJ10" localSheetId="7" hidden="1">#REF!</definedName>
    <definedName name="IQRWACCAnalysisBJ10" hidden="1">#REF!</definedName>
    <definedName name="IQRWACCAnalysisBK10" localSheetId="8" hidden="1">#REF!</definedName>
    <definedName name="IQRWACCAnalysisBK10" localSheetId="0" hidden="1">#REF!</definedName>
    <definedName name="IQRWACCAnalysisBK10" localSheetId="6" hidden="1">#REF!</definedName>
    <definedName name="IQRWACCAnalysisBK10" localSheetId="7" hidden="1">#REF!</definedName>
    <definedName name="IQRWACCAnalysisBK10" hidden="1">#REF!</definedName>
    <definedName name="IQRWACCAnalysisBL10" localSheetId="8" hidden="1">#REF!</definedName>
    <definedName name="IQRWACCAnalysisBL10" localSheetId="0" hidden="1">#REF!</definedName>
    <definedName name="IQRWACCAnalysisBL10" localSheetId="6" hidden="1">#REF!</definedName>
    <definedName name="IQRWACCAnalysisBL10" localSheetId="7" hidden="1">#REF!</definedName>
    <definedName name="IQRWACCAnalysisBL10" hidden="1">#REF!</definedName>
    <definedName name="IQRWACCAnalysisBM10" localSheetId="8" hidden="1">#REF!</definedName>
    <definedName name="IQRWACCAnalysisBM10" localSheetId="0" hidden="1">#REF!</definedName>
    <definedName name="IQRWACCAnalysisBM10" localSheetId="6" hidden="1">#REF!</definedName>
    <definedName name="IQRWACCAnalysisBM10" localSheetId="7" hidden="1">#REF!</definedName>
    <definedName name="IQRWACCAnalysisBM10" hidden="1">#REF!</definedName>
    <definedName name="IQRWACCAnalysisBN10" localSheetId="8" hidden="1">#REF!</definedName>
    <definedName name="IQRWACCAnalysisBN10" localSheetId="0" hidden="1">#REF!</definedName>
    <definedName name="IQRWACCAnalysisBN10" localSheetId="6" hidden="1">#REF!</definedName>
    <definedName name="IQRWACCAnalysisBN10" localSheetId="7" hidden="1">#REF!</definedName>
    <definedName name="IQRWACCAnalysisBN10" hidden="1">#REF!</definedName>
    <definedName name="IQRWACCAnalysisBO10" localSheetId="8" hidden="1">#REF!</definedName>
    <definedName name="IQRWACCAnalysisBO10" localSheetId="0" hidden="1">#REF!</definedName>
    <definedName name="IQRWACCAnalysisBO10" localSheetId="6" hidden="1">#REF!</definedName>
    <definedName name="IQRWACCAnalysisBO10" localSheetId="7" hidden="1">#REF!</definedName>
    <definedName name="IQRWACCAnalysisBO10" hidden="1">#REF!</definedName>
    <definedName name="IQRWACCAnalysisBP10" localSheetId="8" hidden="1">#REF!</definedName>
    <definedName name="IQRWACCAnalysisBP10" localSheetId="0" hidden="1">#REF!</definedName>
    <definedName name="IQRWACCAnalysisBP10" localSheetId="6" hidden="1">#REF!</definedName>
    <definedName name="IQRWACCAnalysisBP10" localSheetId="7" hidden="1">#REF!</definedName>
    <definedName name="IQRWACCAnalysisBP10" hidden="1">#REF!</definedName>
    <definedName name="IQRWACCAnalysisBQ10" localSheetId="8" hidden="1">#REF!</definedName>
    <definedName name="IQRWACCAnalysisBQ10" localSheetId="0" hidden="1">#REF!</definedName>
    <definedName name="IQRWACCAnalysisBQ10" localSheetId="6" hidden="1">#REF!</definedName>
    <definedName name="IQRWACCAnalysisBQ10" localSheetId="7" hidden="1">#REF!</definedName>
    <definedName name="IQRWACCAnalysisBQ10" hidden="1">#REF!</definedName>
    <definedName name="IQRWACCAnalysisBR10" localSheetId="8" hidden="1">#REF!</definedName>
    <definedName name="IQRWACCAnalysisBR10" localSheetId="0" hidden="1">#REF!</definedName>
    <definedName name="IQRWACCAnalysisBR10" localSheetId="6" hidden="1">#REF!</definedName>
    <definedName name="IQRWACCAnalysisBR10" localSheetId="7" hidden="1">#REF!</definedName>
    <definedName name="IQRWACCAnalysisBR10" hidden="1">#REF!</definedName>
    <definedName name="IQRWACCAnalysisBS10" localSheetId="8" hidden="1">#REF!</definedName>
    <definedName name="IQRWACCAnalysisBS10" localSheetId="0" hidden="1">#REF!</definedName>
    <definedName name="IQRWACCAnalysisBS10" localSheetId="6" hidden="1">#REF!</definedName>
    <definedName name="IQRWACCAnalysisBS10" localSheetId="7" hidden="1">#REF!</definedName>
    <definedName name="IQRWACCAnalysisBS10" hidden="1">#REF!</definedName>
    <definedName name="IQRWACCAnalysisBT10" localSheetId="8" hidden="1">#REF!</definedName>
    <definedName name="IQRWACCAnalysisBT10" localSheetId="0" hidden="1">#REF!</definedName>
    <definedName name="IQRWACCAnalysisBT10" localSheetId="6" hidden="1">#REF!</definedName>
    <definedName name="IQRWACCAnalysisBT10" localSheetId="7" hidden="1">#REF!</definedName>
    <definedName name="IQRWACCAnalysisBT10" hidden="1">#REF!</definedName>
    <definedName name="IQRWACCAnalysisBU10" localSheetId="8" hidden="1">#REF!</definedName>
    <definedName name="IQRWACCAnalysisBU10" localSheetId="0" hidden="1">#REF!</definedName>
    <definedName name="IQRWACCAnalysisBU10" localSheetId="6" hidden="1">#REF!</definedName>
    <definedName name="IQRWACCAnalysisBU10" localSheetId="7" hidden="1">#REF!</definedName>
    <definedName name="IQRWACCAnalysisBU10" hidden="1">#REF!</definedName>
    <definedName name="IQRWACCAnalysisBV10" localSheetId="8" hidden="1">#REF!</definedName>
    <definedName name="IQRWACCAnalysisBV10" localSheetId="0" hidden="1">#REF!</definedName>
    <definedName name="IQRWACCAnalysisBV10" localSheetId="6" hidden="1">#REF!</definedName>
    <definedName name="IQRWACCAnalysisBV10" localSheetId="7" hidden="1">#REF!</definedName>
    <definedName name="IQRWACCAnalysisBV10" hidden="1">#REF!</definedName>
    <definedName name="IQRWACCAnalysisBW10" localSheetId="8" hidden="1">#REF!</definedName>
    <definedName name="IQRWACCAnalysisBW10" localSheetId="0" hidden="1">#REF!</definedName>
    <definedName name="IQRWACCAnalysisBW10" localSheetId="6" hidden="1">#REF!</definedName>
    <definedName name="IQRWACCAnalysisBW10" localSheetId="7" hidden="1">#REF!</definedName>
    <definedName name="IQRWACCAnalysisBW10" hidden="1">#REF!</definedName>
    <definedName name="IQRWACCAnalysisBX10" localSheetId="8" hidden="1">#REF!</definedName>
    <definedName name="IQRWACCAnalysisBX10" localSheetId="0" hidden="1">#REF!</definedName>
    <definedName name="IQRWACCAnalysisBX10" localSheetId="6" hidden="1">#REF!</definedName>
    <definedName name="IQRWACCAnalysisBX10" localSheetId="7" hidden="1">#REF!</definedName>
    <definedName name="IQRWACCAnalysisBX10" hidden="1">#REF!</definedName>
    <definedName name="IQRWACCAnalysisBY10" localSheetId="8" hidden="1">#REF!</definedName>
    <definedName name="IQRWACCAnalysisBY10" localSheetId="0" hidden="1">#REF!</definedName>
    <definedName name="IQRWACCAnalysisBY10" localSheetId="6" hidden="1">#REF!</definedName>
    <definedName name="IQRWACCAnalysisBY10" localSheetId="7" hidden="1">#REF!</definedName>
    <definedName name="IQRWACCAnalysisBY10" hidden="1">#REF!</definedName>
    <definedName name="IQRWACCAnalysisBZ10" localSheetId="8" hidden="1">#REF!</definedName>
    <definedName name="IQRWACCAnalysisBZ10" localSheetId="0" hidden="1">#REF!</definedName>
    <definedName name="IQRWACCAnalysisBZ10" localSheetId="6" hidden="1">#REF!</definedName>
    <definedName name="IQRWACCAnalysisBZ10" localSheetId="7" hidden="1">#REF!</definedName>
    <definedName name="IQRWACCAnalysisBZ10" hidden="1">#REF!</definedName>
    <definedName name="IQRWACCAnalysisCA10" localSheetId="8" hidden="1">#REF!</definedName>
    <definedName name="IQRWACCAnalysisCA10" localSheetId="0" hidden="1">#REF!</definedName>
    <definedName name="IQRWACCAnalysisCA10" localSheetId="6" hidden="1">#REF!</definedName>
    <definedName name="IQRWACCAnalysisCA10" localSheetId="7" hidden="1">#REF!</definedName>
    <definedName name="IQRWACCAnalysisCA10" hidden="1">#REF!</definedName>
    <definedName name="IQRWACCAnalysisCB10" localSheetId="8" hidden="1">#REF!</definedName>
    <definedName name="IQRWACCAnalysisCB10" localSheetId="0" hidden="1">#REF!</definedName>
    <definedName name="IQRWACCAnalysisCB10" localSheetId="6" hidden="1">#REF!</definedName>
    <definedName name="IQRWACCAnalysisCB10" localSheetId="7" hidden="1">#REF!</definedName>
    <definedName name="IQRWACCAnalysisCB10" hidden="1">#REF!</definedName>
    <definedName name="IQRWACCAnalysisCC10" localSheetId="8" hidden="1">#REF!</definedName>
    <definedName name="IQRWACCAnalysisCC10" localSheetId="0" hidden="1">#REF!</definedName>
    <definedName name="IQRWACCAnalysisCC10" localSheetId="6" hidden="1">#REF!</definedName>
    <definedName name="IQRWACCAnalysisCC10" localSheetId="7" hidden="1">#REF!</definedName>
    <definedName name="IQRWACCAnalysisCC10" hidden="1">#REF!</definedName>
    <definedName name="IQRWACCAnalysisCD10" localSheetId="8" hidden="1">#REF!</definedName>
    <definedName name="IQRWACCAnalysisCD10" localSheetId="0" hidden="1">#REF!</definedName>
    <definedName name="IQRWACCAnalysisCD10" localSheetId="6" hidden="1">#REF!</definedName>
    <definedName name="IQRWACCAnalysisCD10" localSheetId="7" hidden="1">#REF!</definedName>
    <definedName name="IQRWACCAnalysisCD10" hidden="1">#REF!</definedName>
    <definedName name="IQRWACCAnalysisformulas2BF10" localSheetId="8" hidden="1">#REF!</definedName>
    <definedName name="IQRWACCAnalysisformulas2BF10" localSheetId="0" hidden="1">#REF!</definedName>
    <definedName name="IQRWACCAnalysisformulas2BF10" localSheetId="6" hidden="1">#REF!</definedName>
    <definedName name="IQRWACCAnalysisformulas2BF10" localSheetId="7" hidden="1">#REF!</definedName>
    <definedName name="IQRWACCAnalysisformulas2BF10" hidden="1">#REF!</definedName>
    <definedName name="IQRWACCAnalysisformulas2BN10" localSheetId="8" hidden="1">#REF!</definedName>
    <definedName name="IQRWACCAnalysisformulas2BN10" localSheetId="0" hidden="1">#REF!</definedName>
    <definedName name="IQRWACCAnalysisformulas2BN10" localSheetId="6" hidden="1">#REF!</definedName>
    <definedName name="IQRWACCAnalysisformulas2BN10" localSheetId="7" hidden="1">#REF!</definedName>
    <definedName name="IQRWACCAnalysisformulas2BN10" hidden="1">#REF!</definedName>
    <definedName name="IQRWACCAnalysisformulasBF10" localSheetId="8" hidden="1">#REF!</definedName>
    <definedName name="IQRWACCAnalysisformulasBF10" localSheetId="0" hidden="1">#REF!</definedName>
    <definedName name="IQRWACCAnalysisformulasBF10" localSheetId="6" hidden="1">#REF!</definedName>
    <definedName name="IQRWACCAnalysisformulasBF10" localSheetId="7" hidden="1">#REF!</definedName>
    <definedName name="IQRWACCAnalysisformulasBF10" hidden="1">#REF!</definedName>
    <definedName name="IQRWACCAnalysisformulasBN10" localSheetId="8" hidden="1">#REF!</definedName>
    <definedName name="IQRWACCAnalysisformulasBN10" localSheetId="0" hidden="1">#REF!</definedName>
    <definedName name="IQRWACCAnalysisformulasBN10" localSheetId="6" hidden="1">#REF!</definedName>
    <definedName name="IQRWACCAnalysisformulasBN10" localSheetId="7" hidden="1">#REF!</definedName>
    <definedName name="IQRWACCAnalysisformulasBN10" hidden="1">#REF!</definedName>
    <definedName name="IQRWACCAnalysishardcodeBF10" localSheetId="8" hidden="1">#REF!</definedName>
    <definedName name="IQRWACCAnalysishardcodeBF10" localSheetId="0" hidden="1">#REF!</definedName>
    <definedName name="IQRWACCAnalysishardcodeBF10" localSheetId="6" hidden="1">#REF!</definedName>
    <definedName name="IQRWACCAnalysishardcodeBF10" localSheetId="7" hidden="1">#REF!</definedName>
    <definedName name="IQRWACCAnalysishardcodeBF10" hidden="1">#REF!</definedName>
    <definedName name="IQRWACCAnalysishardcodeBN10" localSheetId="8" hidden="1">#REF!</definedName>
    <definedName name="IQRWACCAnalysishardcodeBN10" localSheetId="0" hidden="1">#REF!</definedName>
    <definedName name="IQRWACCAnalysishardcodeBN10" localSheetId="6" hidden="1">#REF!</definedName>
    <definedName name="IQRWACCAnalysishardcodeBN10" localSheetId="7" hidden="1">#REF!</definedName>
    <definedName name="IQRWACCAnalysishardcodeBN10" hidden="1">#REF!</definedName>
    <definedName name="IQRWACCformulasBF10" localSheetId="8" hidden="1">#REF!</definedName>
    <definedName name="IQRWACCformulasBF10" localSheetId="0" hidden="1">#REF!</definedName>
    <definedName name="IQRWACCformulasBF10" localSheetId="6" hidden="1">#REF!</definedName>
    <definedName name="IQRWACCformulasBF10" localSheetId="7" hidden="1">#REF!</definedName>
    <definedName name="IQRWACCformulasBF10" hidden="1">#REF!</definedName>
    <definedName name="IQRWACCformulasBN10" localSheetId="8" hidden="1">#REF!</definedName>
    <definedName name="IQRWACCformulasBN10" localSheetId="0" hidden="1">#REF!</definedName>
    <definedName name="IQRWACCformulasBN10" localSheetId="6" hidden="1">#REF!</definedName>
    <definedName name="IQRWACCformulasBN10" localSheetId="7" hidden="1">#REF!</definedName>
    <definedName name="IQRWACCformulasBN10" hidden="1">#REF!</definedName>
    <definedName name="IQRWACChardcodeBF10" localSheetId="8" hidden="1">#REF!</definedName>
    <definedName name="IQRWACChardcodeBF10" localSheetId="0" hidden="1">#REF!</definedName>
    <definedName name="IQRWACChardcodeBF10" localSheetId="6" hidden="1">#REF!</definedName>
    <definedName name="IQRWACChardcodeBF10" localSheetId="7" hidden="1">#REF!</definedName>
    <definedName name="IQRWACChardcodeBF10" hidden="1">#REF!</definedName>
    <definedName name="IQRWACChardcodeBF9" localSheetId="8" hidden="1">#REF!</definedName>
    <definedName name="IQRWACChardcodeBF9" localSheetId="0" hidden="1">#REF!</definedName>
    <definedName name="IQRWACChardcodeBF9" localSheetId="6" hidden="1">#REF!</definedName>
    <definedName name="IQRWACChardcodeBF9" localSheetId="7" hidden="1">#REF!</definedName>
    <definedName name="IQRWACChardcodeBF9" hidden="1">#REF!</definedName>
    <definedName name="IQRWACChardcodeBN10" localSheetId="8" hidden="1">#REF!</definedName>
    <definedName name="IQRWACChardcodeBN10" localSheetId="0" hidden="1">#REF!</definedName>
    <definedName name="IQRWACChardcodeBN10" localSheetId="6" hidden="1">#REF!</definedName>
    <definedName name="IQRWACChardcodeBN10" localSheetId="7" hidden="1">#REF!</definedName>
    <definedName name="IQRWACChardcodeBN10" hidden="1">#REF!</definedName>
    <definedName name="IQRWACChardcodeBN9" localSheetId="8" hidden="1">#REF!</definedName>
    <definedName name="IQRWACChardcodeBN9" localSheetId="0" hidden="1">#REF!</definedName>
    <definedName name="IQRWACChardcodeBN9" localSheetId="6" hidden="1">#REF!</definedName>
    <definedName name="IQRWACChardcodeBN9" localSheetId="7" hidden="1">#REF!</definedName>
    <definedName name="IQRWACChardcodeBN9" hidden="1">#REF!</definedName>
    <definedName name="ListOffset" hidden="1">1</definedName>
    <definedName name="o" localSheetId="8" hidden="1">{#N/A,#N/A,FALSE,"New Depr Sch-150% DB";#N/A,#N/A,FALSE,"Cash Flows RLP";#N/A,#N/A,FALSE,"IRR";#N/A,#N/A,FALSE,"Proforma IS";#N/A,#N/A,FALSE,"Assumptions"}</definedName>
    <definedName name="o" localSheetId="0" hidden="1">{#N/A,#N/A,FALSE,"New Depr Sch-150% DB";#N/A,#N/A,FALSE,"Cash Flows RLP";#N/A,#N/A,FALSE,"IRR";#N/A,#N/A,FALSE,"Proforma IS";#N/A,#N/A,FALSE,"Assumptions"}</definedName>
    <definedName name="o" localSheetId="6" hidden="1">{#N/A,#N/A,FALSE,"New Depr Sch-150% DB";#N/A,#N/A,FALSE,"Cash Flows RLP";#N/A,#N/A,FALSE,"IRR";#N/A,#N/A,FALSE,"Proforma IS";#N/A,#N/A,FALSE,"Assumptions"}</definedName>
    <definedName name="o" localSheetId="7" hidden="1">{#N/A,#N/A,FALSE,"New Depr Sch-150% DB";#N/A,#N/A,FALSE,"Cash Flows RLP";#N/A,#N/A,FALSE,"IRR";#N/A,#N/A,FALSE,"Proforma IS";#N/A,#N/A,FALSE,"Assumptions"}</definedName>
    <definedName name="o" hidden="1">{#N/A,#N/A,FALSE,"New Depr Sch-150% DB";#N/A,#N/A,FALSE,"Cash Flows RLP";#N/A,#N/A,FALSE,"IRR";#N/A,#N/A,FALSE,"Proforma IS";#N/A,#N/A,FALSE,"Assumptions"}</definedName>
    <definedName name="Tax_rate" localSheetId="0">#REF!</definedName>
    <definedName name="Tax_rate">#REF!</definedName>
    <definedName name="wrn.Basic._.Report." localSheetId="8" hidden="1">{#N/A,#N/A,FALSE,"New Depr Sch-150% DB";#N/A,#N/A,FALSE,"Cash Flows RLP";#N/A,#N/A,FALSE,"IRR";#N/A,#N/A,FALSE,"Proforma IS";#N/A,#N/A,FALSE,"Assumptions"}</definedName>
    <definedName name="wrn.Basic._.Report." localSheetId="0" hidden="1">{#N/A,#N/A,FALSE,"New Depr Sch-150% DB";#N/A,#N/A,FALSE,"Cash Flows RLP";#N/A,#N/A,FALSE,"IRR";#N/A,#N/A,FALSE,"Proforma IS";#N/A,#N/A,FALSE,"Assumptions"}</definedName>
    <definedName name="wrn.Basic._.Report." localSheetId="6" hidden="1">{#N/A,#N/A,FALSE,"New Depr Sch-150% DB";#N/A,#N/A,FALSE,"Cash Flows RLP";#N/A,#N/A,FALSE,"IRR";#N/A,#N/A,FALSE,"Proforma IS";#N/A,#N/A,FALSE,"Assumptions"}</definedName>
    <definedName name="wrn.Basic._.Report." localSheetId="7" hidden="1">{#N/A,#N/A,FALSE,"New Depr Sch-150% DB";#N/A,#N/A,FALSE,"Cash Flows RLP";#N/A,#N/A,FALSE,"IRR";#N/A,#N/A,FALSE,"Proforma IS";#N/A,#N/A,FALSE,"Assumptions"}</definedName>
    <definedName name="wrn.Basic._.Report." hidden="1">{#N/A,#N/A,FALSE,"New Depr Sch-150% DB";#N/A,#N/A,FALSE,"Cash Flows RLP";#N/A,#N/A,FALSE,"IRR";#N/A,#N/A,FALSE,"Proforma IS";#N/A,#N/A,FALSE,"Assumptions"}</definedName>
    <definedName name="wrn.clientcopy." localSheetId="8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0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6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7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localSheetId="8" hidden="1">{#N/A,#N/A,FALSE,"Assumptions";#N/A,#N/A,FALSE,"Proforma IS";#N/A,#N/A,FALSE,"Cash Flows RLP";#N/A,#N/A,FALSE,"IRR";#N/A,#N/A,FALSE,"New Depr Sch-150% DB";#N/A,#N/A,FALSE,"Comments"}</definedName>
    <definedName name="wrn.Complete._.Report." localSheetId="0" hidden="1">{#N/A,#N/A,FALSE,"Assumptions";#N/A,#N/A,FALSE,"Proforma IS";#N/A,#N/A,FALSE,"Cash Flows RLP";#N/A,#N/A,FALSE,"IRR";#N/A,#N/A,FALSE,"New Depr Sch-150% DB";#N/A,#N/A,FALSE,"Comments"}</definedName>
    <definedName name="wrn.Complete._.Report." localSheetId="6" hidden="1">{#N/A,#N/A,FALSE,"Assumptions";#N/A,#N/A,FALSE,"Proforma IS";#N/A,#N/A,FALSE,"Cash Flows RLP";#N/A,#N/A,FALSE,"IRR";#N/A,#N/A,FALSE,"New Depr Sch-150% DB";#N/A,#N/A,FALSE,"Comments"}</definedName>
    <definedName name="wrn.Complete._.Report." localSheetId="7" hidden="1">{#N/A,#N/A,FALSE,"Assumptions";#N/A,#N/A,FALSE,"Proforma IS";#N/A,#N/A,FALSE,"Cash Flows RLP";#N/A,#N/A,FALSE,"IRR";#N/A,#N/A,FALSE,"New Depr Sch-150% DB";#N/A,#N/A,FALSE,"Comments"}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filecopy." localSheetId="8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0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6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7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 localSheetId="8" hidden="1">{#N/A,#N/A,FALSE,"Japan 2003";#N/A,#N/A,FALSE,"Sheet2"}</definedName>
    <definedName name="wrn.print." localSheetId="0" hidden="1">{#N/A,#N/A,FALSE,"Japan 2003";#N/A,#N/A,FALSE,"Sheet2"}</definedName>
    <definedName name="wrn.print." localSheetId="6" hidden="1">{#N/A,#N/A,FALSE,"Japan 2003";#N/A,#N/A,FALSE,"Sheet2"}</definedName>
    <definedName name="wrn.print." localSheetId="7" hidden="1">{#N/A,#N/A,FALSE,"Japan 2003";#N/A,#N/A,FALSE,"Sheet2"}</definedName>
    <definedName name="wrn.print." hidden="1">{#N/A,#N/A,FALSE,"Japan 2003";#N/A,#N/A,FALSE,"Sheet2"}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1" l="1"/>
  <c r="A1" i="12"/>
  <c r="H48" i="3"/>
  <c r="M22" i="2"/>
  <c r="H26" i="3"/>
  <c r="A1" i="3" l="1"/>
  <c r="A1" i="4"/>
  <c r="A1" i="5"/>
  <c r="A1" i="6"/>
  <c r="A1" i="8"/>
  <c r="A1" i="9"/>
  <c r="A1" i="11"/>
  <c r="A1" i="1"/>
  <c r="A1" i="2"/>
  <c r="H38" i="9" l="1"/>
  <c r="K10" i="12"/>
  <c r="K8" i="12"/>
  <c r="H7" i="11"/>
  <c r="J7" i="12" s="1"/>
  <c r="J8" i="12" s="1"/>
  <c r="H6" i="11"/>
  <c r="J9" i="12" s="1"/>
  <c r="J10" i="12" s="1"/>
  <c r="I10" i="12"/>
  <c r="I8" i="12"/>
  <c r="E138" i="3" l="1"/>
  <c r="E137" i="3"/>
  <c r="K160" i="3" l="1"/>
  <c r="K166" i="3"/>
  <c r="O160" i="3" s="1"/>
  <c r="I141" i="3"/>
  <c r="J141" i="3" s="1"/>
  <c r="K141" i="3" s="1"/>
  <c r="L141" i="3" s="1"/>
  <c r="M141" i="3" s="1"/>
  <c r="H142" i="3"/>
  <c r="L142" i="3" s="1"/>
  <c r="M142" i="3" l="1"/>
  <c r="N142" i="3" s="1"/>
  <c r="I142" i="3"/>
  <c r="J142" i="3"/>
  <c r="K142" i="3"/>
  <c r="L144" i="3" s="1"/>
  <c r="M144" i="3" l="1"/>
  <c r="K144" i="3"/>
  <c r="J144" i="3"/>
  <c r="I144" i="3"/>
  <c r="E66" i="11" l="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H10" i="11" s="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M20" i="9" l="1"/>
  <c r="M19" i="9"/>
  <c r="L10" i="9"/>
  <c r="L11" i="9"/>
  <c r="L12" i="9"/>
  <c r="L13" i="9"/>
  <c r="L14" i="9"/>
  <c r="L15" i="9"/>
  <c r="L16" i="9"/>
  <c r="L17" i="9"/>
  <c r="L18" i="9"/>
  <c r="L19" i="9" l="1"/>
  <c r="L20" i="9"/>
  <c r="E7" i="8"/>
  <c r="E9" i="8" s="1"/>
  <c r="H43" i="9" s="1"/>
  <c r="H44" i="9" s="1"/>
  <c r="F22" i="5" l="1"/>
  <c r="F8" i="5"/>
  <c r="F9" i="5"/>
  <c r="F10" i="5"/>
  <c r="F11" i="5"/>
  <c r="F12" i="5"/>
  <c r="F13" i="5"/>
  <c r="F14" i="5"/>
  <c r="F15" i="5"/>
  <c r="F16" i="5"/>
  <c r="F17" i="5"/>
  <c r="L22" i="5"/>
  <c r="L8" i="5"/>
  <c r="L9" i="5"/>
  <c r="L10" i="5"/>
  <c r="L11" i="5"/>
  <c r="L12" i="5"/>
  <c r="L13" i="5"/>
  <c r="L14" i="5"/>
  <c r="L15" i="5"/>
  <c r="L16" i="5"/>
  <c r="L17" i="5"/>
  <c r="O22" i="5"/>
  <c r="P22" i="5"/>
  <c r="Q22" i="5"/>
  <c r="K22" i="5"/>
  <c r="I22" i="9" s="1"/>
  <c r="H33" i="9" s="1"/>
  <c r="H22" i="5"/>
  <c r="I22" i="5"/>
  <c r="K25" i="5" s="1"/>
  <c r="O8" i="5"/>
  <c r="P8" i="5"/>
  <c r="Q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O16" i="5"/>
  <c r="P16" i="5"/>
  <c r="Q16" i="5"/>
  <c r="O17" i="5"/>
  <c r="P17" i="5"/>
  <c r="Q17" i="5"/>
  <c r="K8" i="5"/>
  <c r="I10" i="9" s="1"/>
  <c r="K9" i="5"/>
  <c r="I11" i="9" s="1"/>
  <c r="K10" i="5"/>
  <c r="I12" i="9" s="1"/>
  <c r="K11" i="5"/>
  <c r="I13" i="9" s="1"/>
  <c r="K12" i="5"/>
  <c r="I14" i="9" s="1"/>
  <c r="K13" i="5"/>
  <c r="I15" i="9" s="1"/>
  <c r="K14" i="5"/>
  <c r="I16" i="9" s="1"/>
  <c r="K15" i="5"/>
  <c r="I17" i="9" s="1"/>
  <c r="K16" i="5"/>
  <c r="I18" i="9" s="1"/>
  <c r="K17" i="5"/>
  <c r="H8" i="5"/>
  <c r="I8" i="5"/>
  <c r="H9" i="5"/>
  <c r="I9" i="5"/>
  <c r="H10" i="5"/>
  <c r="J10" i="5" s="1"/>
  <c r="H12" i="9" s="1"/>
  <c r="I10" i="5"/>
  <c r="H11" i="5"/>
  <c r="I11" i="5"/>
  <c r="H12" i="5"/>
  <c r="I12" i="5"/>
  <c r="J12" i="5" s="1"/>
  <c r="H14" i="9" s="1"/>
  <c r="H13" i="5"/>
  <c r="I13" i="5"/>
  <c r="H14" i="5"/>
  <c r="I14" i="5"/>
  <c r="H15" i="5"/>
  <c r="I15" i="5"/>
  <c r="H16" i="5"/>
  <c r="I16" i="5"/>
  <c r="H17" i="5"/>
  <c r="I17" i="5"/>
  <c r="J8" i="5" l="1"/>
  <c r="H10" i="9" s="1"/>
  <c r="J16" i="5"/>
  <c r="M16" i="5" s="1"/>
  <c r="J9" i="5"/>
  <c r="H11" i="9" s="1"/>
  <c r="K11" i="9" s="1"/>
  <c r="J22" i="5"/>
  <c r="M22" i="5" s="1"/>
  <c r="T22" i="5" s="1"/>
  <c r="J13" i="5"/>
  <c r="H15" i="9" s="1"/>
  <c r="K15" i="9" s="1"/>
  <c r="J15" i="5"/>
  <c r="H17" i="9" s="1"/>
  <c r="J17" i="9" s="1"/>
  <c r="N17" i="9" s="1"/>
  <c r="J14" i="5"/>
  <c r="H16" i="9" s="1"/>
  <c r="J11" i="5"/>
  <c r="H13" i="9" s="1"/>
  <c r="K13" i="9" s="1"/>
  <c r="J17" i="5"/>
  <c r="M17" i="5" s="1"/>
  <c r="S17" i="5" s="1"/>
  <c r="H18" i="9"/>
  <c r="K18" i="9" s="1"/>
  <c r="U16" i="5"/>
  <c r="M10" i="5"/>
  <c r="S10" i="5" s="1"/>
  <c r="J12" i="9"/>
  <c r="N12" i="9" s="1"/>
  <c r="K12" i="9"/>
  <c r="U10" i="5"/>
  <c r="K10" i="9"/>
  <c r="J10" i="9"/>
  <c r="K27" i="5"/>
  <c r="M8" i="5"/>
  <c r="S8" i="5" s="1"/>
  <c r="U8" i="5"/>
  <c r="K26" i="5"/>
  <c r="U12" i="5"/>
  <c r="M13" i="5"/>
  <c r="S13" i="5" s="1"/>
  <c r="M12" i="5"/>
  <c r="S12" i="5" s="1"/>
  <c r="J14" i="9"/>
  <c r="N14" i="9" s="1"/>
  <c r="K14" i="9"/>
  <c r="I25" i="5"/>
  <c r="I26" i="5" s="1"/>
  <c r="M94" i="3"/>
  <c r="N94" i="3"/>
  <c r="O94" i="3"/>
  <c r="P94" i="3"/>
  <c r="Q94" i="3"/>
  <c r="O155" i="2"/>
  <c r="O153" i="2"/>
  <c r="N155" i="2"/>
  <c r="N154" i="2"/>
  <c r="O154" i="2" s="1"/>
  <c r="O156" i="2" s="1"/>
  <c r="N153" i="2"/>
  <c r="R159" i="2"/>
  <c r="S159" i="2" s="1"/>
  <c r="Q160" i="2"/>
  <c r="P160" i="2"/>
  <c r="O160" i="2"/>
  <c r="G7" i="3"/>
  <c r="H112" i="3"/>
  <c r="I112" i="3"/>
  <c r="J112" i="3"/>
  <c r="K112" i="3"/>
  <c r="L112" i="3"/>
  <c r="H111" i="3"/>
  <c r="I111" i="3"/>
  <c r="J111" i="3"/>
  <c r="K111" i="3"/>
  <c r="L111" i="3"/>
  <c r="H110" i="3"/>
  <c r="I110" i="3"/>
  <c r="J110" i="3"/>
  <c r="K110" i="3"/>
  <c r="L110" i="3"/>
  <c r="I109" i="3"/>
  <c r="J109" i="3"/>
  <c r="K109" i="3"/>
  <c r="L109" i="3"/>
  <c r="H109" i="3"/>
  <c r="M9" i="5" l="1"/>
  <c r="S9" i="5" s="1"/>
  <c r="M15" i="5"/>
  <c r="T15" i="5" s="1"/>
  <c r="T16" i="5"/>
  <c r="S16" i="5"/>
  <c r="U13" i="5"/>
  <c r="J11" i="9"/>
  <c r="N11" i="9" s="1"/>
  <c r="U22" i="5"/>
  <c r="U9" i="5"/>
  <c r="H22" i="9"/>
  <c r="H32" i="9" s="1"/>
  <c r="H34" i="9" s="1"/>
  <c r="K17" i="9"/>
  <c r="U15" i="5"/>
  <c r="J15" i="9"/>
  <c r="N15" i="9" s="1"/>
  <c r="U17" i="5"/>
  <c r="M11" i="5"/>
  <c r="T11" i="5" s="1"/>
  <c r="U14" i="5"/>
  <c r="M14" i="5"/>
  <c r="S14" i="5" s="1"/>
  <c r="U11" i="5"/>
  <c r="K16" i="9"/>
  <c r="J16" i="9"/>
  <c r="N16" i="9" s="1"/>
  <c r="S15" i="5"/>
  <c r="T17" i="5"/>
  <c r="T9" i="5"/>
  <c r="J13" i="9"/>
  <c r="N13" i="9" s="1"/>
  <c r="J18" i="9"/>
  <c r="N18" i="9" s="1"/>
  <c r="T10" i="5"/>
  <c r="T8" i="5"/>
  <c r="N10" i="9"/>
  <c r="T12" i="5"/>
  <c r="T13" i="5"/>
  <c r="S22" i="5"/>
  <c r="I27" i="5"/>
  <c r="L113" i="3"/>
  <c r="L81" i="3" s="1"/>
  <c r="K113" i="3"/>
  <c r="K81" i="3" s="1"/>
  <c r="J113" i="3"/>
  <c r="J81" i="3" s="1"/>
  <c r="I113" i="3"/>
  <c r="I81" i="3" s="1"/>
  <c r="H113" i="3"/>
  <c r="H81" i="3" s="1"/>
  <c r="K19" i="9" l="1"/>
  <c r="H29" i="9" s="1"/>
  <c r="H30" i="9" s="1"/>
  <c r="U20" i="5"/>
  <c r="E27" i="5" s="1"/>
  <c r="J27" i="5" s="1"/>
  <c r="L27" i="5" s="1"/>
  <c r="U19" i="5"/>
  <c r="S11" i="5"/>
  <c r="S20" i="5" s="1"/>
  <c r="E25" i="5" s="1"/>
  <c r="H25" i="5" s="1"/>
  <c r="J25" i="5" s="1"/>
  <c r="L25" i="5" s="1"/>
  <c r="T14" i="5"/>
  <c r="K20" i="9"/>
  <c r="J20" i="9"/>
  <c r="J19" i="9"/>
  <c r="T20" i="5"/>
  <c r="E26" i="5" s="1"/>
  <c r="H26" i="5" s="1"/>
  <c r="J26" i="5" s="1"/>
  <c r="L26" i="5" s="1"/>
  <c r="T19" i="5"/>
  <c r="N20" i="9"/>
  <c r="H45" i="9" s="1"/>
  <c r="H46" i="9" s="1"/>
  <c r="N19" i="9"/>
  <c r="H101" i="3"/>
  <c r="I101" i="3"/>
  <c r="J101" i="3"/>
  <c r="K101" i="3"/>
  <c r="L101" i="3"/>
  <c r="H97" i="3"/>
  <c r="I97" i="3"/>
  <c r="J97" i="3"/>
  <c r="K97" i="3"/>
  <c r="L97" i="3"/>
  <c r="H96" i="3"/>
  <c r="I96" i="3"/>
  <c r="J96" i="3"/>
  <c r="K96" i="3"/>
  <c r="L96" i="3"/>
  <c r="H95" i="3"/>
  <c r="I95" i="3"/>
  <c r="J95" i="3"/>
  <c r="K95" i="3"/>
  <c r="L95" i="3"/>
  <c r="H94" i="3"/>
  <c r="I94" i="3"/>
  <c r="J94" i="3"/>
  <c r="K94" i="3"/>
  <c r="L94" i="3"/>
  <c r="H88" i="3"/>
  <c r="I88" i="3"/>
  <c r="J88" i="3"/>
  <c r="K88" i="3"/>
  <c r="L88" i="3"/>
  <c r="H89" i="3"/>
  <c r="I89" i="3"/>
  <c r="J89" i="3"/>
  <c r="K89" i="3"/>
  <c r="L89" i="3"/>
  <c r="H90" i="3"/>
  <c r="I90" i="3"/>
  <c r="J90" i="3"/>
  <c r="K90" i="3"/>
  <c r="L90" i="3"/>
  <c r="H87" i="3"/>
  <c r="I87" i="3"/>
  <c r="J87" i="3"/>
  <c r="K87" i="3"/>
  <c r="L87" i="3"/>
  <c r="H86" i="3"/>
  <c r="I86" i="3"/>
  <c r="J86" i="3"/>
  <c r="K86" i="3"/>
  <c r="L86" i="3"/>
  <c r="H85" i="3"/>
  <c r="I85" i="3"/>
  <c r="J85" i="3"/>
  <c r="K85" i="3"/>
  <c r="L85" i="3"/>
  <c r="H80" i="3"/>
  <c r="I80" i="3"/>
  <c r="J80" i="3"/>
  <c r="K80" i="3"/>
  <c r="L80" i="3"/>
  <c r="H79" i="3"/>
  <c r="H118" i="3" s="1"/>
  <c r="I79" i="3"/>
  <c r="I118" i="3" s="1"/>
  <c r="J79" i="3"/>
  <c r="J118" i="3" s="1"/>
  <c r="K79" i="3"/>
  <c r="K118" i="3" s="1"/>
  <c r="L79" i="3"/>
  <c r="L118" i="3" s="1"/>
  <c r="H78" i="3"/>
  <c r="I78" i="3"/>
  <c r="J78" i="3"/>
  <c r="K78" i="3"/>
  <c r="L78" i="3"/>
  <c r="H69" i="3"/>
  <c r="I69" i="3"/>
  <c r="J69" i="3"/>
  <c r="K69" i="3"/>
  <c r="L69" i="3"/>
  <c r="H67" i="3"/>
  <c r="I67" i="3"/>
  <c r="J67" i="3"/>
  <c r="K67" i="3"/>
  <c r="L67" i="3"/>
  <c r="H66" i="3"/>
  <c r="I66" i="3"/>
  <c r="J66" i="3"/>
  <c r="K66" i="3"/>
  <c r="L66" i="3"/>
  <c r="M66" i="3" s="1"/>
  <c r="N66" i="3" s="1"/>
  <c r="O66" i="3" s="1"/>
  <c r="P66" i="3" s="1"/>
  <c r="Q66" i="3" s="1"/>
  <c r="H63" i="3"/>
  <c r="I63" i="3"/>
  <c r="J63" i="3"/>
  <c r="K63" i="3"/>
  <c r="L63" i="3"/>
  <c r="M63" i="3" s="1"/>
  <c r="N63" i="3" s="1"/>
  <c r="O63" i="3" s="1"/>
  <c r="P63" i="3" s="1"/>
  <c r="Q63" i="3" s="1"/>
  <c r="H62" i="3"/>
  <c r="H124" i="3" s="1"/>
  <c r="I122" i="3" s="1"/>
  <c r="I62" i="3"/>
  <c r="I124" i="3" s="1"/>
  <c r="J62" i="3"/>
  <c r="J124" i="3" s="1"/>
  <c r="K62" i="3"/>
  <c r="K124" i="3" s="1"/>
  <c r="L62" i="3"/>
  <c r="L124" i="3" s="1"/>
  <c r="H60" i="3"/>
  <c r="I60" i="3"/>
  <c r="J60" i="3"/>
  <c r="K60" i="3"/>
  <c r="L60" i="3"/>
  <c r="M60" i="3" s="1"/>
  <c r="N60" i="3" s="1"/>
  <c r="O60" i="3" s="1"/>
  <c r="P60" i="3" s="1"/>
  <c r="Q60" i="3" s="1"/>
  <c r="H59" i="3"/>
  <c r="I59" i="3"/>
  <c r="J59" i="3"/>
  <c r="K59" i="3"/>
  <c r="L59" i="3"/>
  <c r="H54" i="3"/>
  <c r="I54" i="3"/>
  <c r="J54" i="3"/>
  <c r="K54" i="3"/>
  <c r="L54" i="3"/>
  <c r="M54" i="3" s="1"/>
  <c r="N54" i="3" s="1"/>
  <c r="O54" i="3" s="1"/>
  <c r="P54" i="3" s="1"/>
  <c r="Q54" i="3" s="1"/>
  <c r="H53" i="3"/>
  <c r="I53" i="3"/>
  <c r="J53" i="3"/>
  <c r="K53" i="3"/>
  <c r="L53" i="3"/>
  <c r="H52" i="3"/>
  <c r="I52" i="3"/>
  <c r="J52" i="3"/>
  <c r="K52" i="3"/>
  <c r="L52" i="3"/>
  <c r="M52" i="3" s="1"/>
  <c r="N52" i="3" s="1"/>
  <c r="O52" i="3" s="1"/>
  <c r="P52" i="3" s="1"/>
  <c r="Q52" i="3" s="1"/>
  <c r="H51" i="3"/>
  <c r="H119" i="3" s="1"/>
  <c r="I116" i="3" s="1"/>
  <c r="I51" i="3"/>
  <c r="I119" i="3" s="1"/>
  <c r="J51" i="3"/>
  <c r="J119" i="3" s="1"/>
  <c r="K116" i="3" s="1"/>
  <c r="K51" i="3"/>
  <c r="K119" i="3" s="1"/>
  <c r="L51" i="3"/>
  <c r="L119" i="3" s="1"/>
  <c r="M116" i="3" s="1"/>
  <c r="H49" i="3"/>
  <c r="I49" i="3"/>
  <c r="J49" i="3"/>
  <c r="K49" i="3"/>
  <c r="L49" i="3"/>
  <c r="I48" i="3"/>
  <c r="J48" i="3"/>
  <c r="K48" i="3"/>
  <c r="L48" i="3"/>
  <c r="H47" i="3"/>
  <c r="I47" i="3"/>
  <c r="J47" i="3"/>
  <c r="K47" i="3"/>
  <c r="L47" i="3"/>
  <c r="H46" i="3"/>
  <c r="I46" i="3"/>
  <c r="J46" i="3"/>
  <c r="K46" i="3"/>
  <c r="L46" i="3"/>
  <c r="M46" i="3" s="1"/>
  <c r="N46" i="3" s="1"/>
  <c r="O46" i="3" s="1"/>
  <c r="P46" i="3" s="1"/>
  <c r="Q46" i="3" s="1"/>
  <c r="H45" i="3"/>
  <c r="I45" i="3"/>
  <c r="J45" i="3"/>
  <c r="K45" i="3"/>
  <c r="L45" i="3"/>
  <c r="H9" i="12" l="1"/>
  <c r="H10" i="12" s="1"/>
  <c r="H27" i="5"/>
  <c r="S19" i="5"/>
  <c r="E134" i="3"/>
  <c r="H7" i="12"/>
  <c r="H8" i="12" s="1"/>
  <c r="M122" i="3"/>
  <c r="M124" i="3" s="1"/>
  <c r="M62" i="3" s="1"/>
  <c r="E162" i="3"/>
  <c r="K161" i="3" s="1"/>
  <c r="E161" i="3"/>
  <c r="K163" i="3" s="1"/>
  <c r="M69" i="3"/>
  <c r="N69" i="3" s="1"/>
  <c r="O69" i="3" s="1"/>
  <c r="P69" i="3" s="1"/>
  <c r="Q69" i="3" s="1"/>
  <c r="E163" i="3"/>
  <c r="K162" i="3" s="1"/>
  <c r="M49" i="3"/>
  <c r="M112" i="3"/>
  <c r="M53" i="3"/>
  <c r="N122" i="3"/>
  <c r="N124" i="3" s="1"/>
  <c r="J91" i="3"/>
  <c r="J68" i="3"/>
  <c r="I91" i="3"/>
  <c r="J98" i="3"/>
  <c r="K98" i="3"/>
  <c r="H82" i="3"/>
  <c r="H91" i="3"/>
  <c r="K82" i="3"/>
  <c r="L82" i="3"/>
  <c r="K68" i="3"/>
  <c r="I68" i="3"/>
  <c r="J82" i="3"/>
  <c r="I82" i="3"/>
  <c r="H64" i="3"/>
  <c r="I98" i="3"/>
  <c r="L68" i="3"/>
  <c r="H98" i="3"/>
  <c r="L91" i="3"/>
  <c r="H68" i="3"/>
  <c r="K91" i="3"/>
  <c r="L98" i="3"/>
  <c r="J55" i="3"/>
  <c r="L122" i="3"/>
  <c r="L123" i="3" s="1"/>
  <c r="L64" i="3"/>
  <c r="K122" i="3"/>
  <c r="K123" i="3" s="1"/>
  <c r="I123" i="3"/>
  <c r="J122" i="3"/>
  <c r="J123" i="3" s="1"/>
  <c r="L116" i="3"/>
  <c r="L117" i="3" s="1"/>
  <c r="K117" i="3"/>
  <c r="I55" i="3"/>
  <c r="H55" i="3"/>
  <c r="I117" i="3"/>
  <c r="J116" i="3"/>
  <c r="J117" i="3" s="1"/>
  <c r="L55" i="3"/>
  <c r="I64" i="3"/>
  <c r="I70" i="3" s="1"/>
  <c r="K55" i="3"/>
  <c r="K64" i="3"/>
  <c r="J64" i="3"/>
  <c r="H37" i="3"/>
  <c r="I37" i="3"/>
  <c r="J37" i="3"/>
  <c r="K37" i="3"/>
  <c r="L37" i="3"/>
  <c r="H35" i="3"/>
  <c r="I35" i="3"/>
  <c r="J35" i="3"/>
  <c r="K35" i="3"/>
  <c r="L35" i="3"/>
  <c r="H34" i="3"/>
  <c r="H125" i="3" s="1"/>
  <c r="I34" i="3"/>
  <c r="J34" i="3"/>
  <c r="K34" i="3"/>
  <c r="L34" i="3"/>
  <c r="H32" i="3"/>
  <c r="I32" i="3"/>
  <c r="I12" i="3" s="1"/>
  <c r="J32" i="3"/>
  <c r="K32" i="3"/>
  <c r="K12" i="3" s="1"/>
  <c r="L32" i="3"/>
  <c r="H30" i="3"/>
  <c r="I30" i="3"/>
  <c r="J30" i="3"/>
  <c r="K30" i="3"/>
  <c r="L30" i="3"/>
  <c r="H29" i="3"/>
  <c r="I29" i="3"/>
  <c r="J29" i="3"/>
  <c r="K29" i="3"/>
  <c r="L29" i="3"/>
  <c r="H19" i="3"/>
  <c r="I26" i="3"/>
  <c r="I19" i="3" s="1"/>
  <c r="J26" i="3"/>
  <c r="K26" i="3"/>
  <c r="L26" i="3"/>
  <c r="H25" i="3"/>
  <c r="H17" i="3" s="1"/>
  <c r="I25" i="3"/>
  <c r="J25" i="3"/>
  <c r="J17" i="3" s="1"/>
  <c r="K25" i="3"/>
  <c r="K17" i="3" s="1"/>
  <c r="L25" i="3"/>
  <c r="I2" i="3"/>
  <c r="J2" i="3"/>
  <c r="K2" i="3"/>
  <c r="L2" i="3"/>
  <c r="M2" i="3" s="1"/>
  <c r="H2" i="3"/>
  <c r="L10" i="3" l="1"/>
  <c r="K10" i="3"/>
  <c r="K164" i="3"/>
  <c r="J70" i="3"/>
  <c r="J72" i="3" s="1"/>
  <c r="J3" i="3" s="1"/>
  <c r="O122" i="3"/>
  <c r="O124" i="3" s="1"/>
  <c r="N62" i="3"/>
  <c r="N53" i="3"/>
  <c r="N87" i="3"/>
  <c r="M87" i="3"/>
  <c r="N49" i="3"/>
  <c r="N112" i="3" s="1"/>
  <c r="J12" i="3"/>
  <c r="K100" i="3"/>
  <c r="K102" i="3" s="1"/>
  <c r="J100" i="3"/>
  <c r="J102" i="3" s="1"/>
  <c r="H70" i="3"/>
  <c r="H72" i="3" s="1"/>
  <c r="H3" i="3" s="1"/>
  <c r="L17" i="3"/>
  <c r="H100" i="3"/>
  <c r="H102" i="3" s="1"/>
  <c r="N2" i="3"/>
  <c r="H4" i="4"/>
  <c r="I100" i="3"/>
  <c r="I102" i="3" s="1"/>
  <c r="H10" i="3"/>
  <c r="I18" i="3"/>
  <c r="L11" i="3"/>
  <c r="K11" i="3"/>
  <c r="L14" i="3"/>
  <c r="K70" i="3"/>
  <c r="K72" i="3" s="1"/>
  <c r="K3" i="3" s="1"/>
  <c r="L9" i="3"/>
  <c r="K9" i="3"/>
  <c r="J9" i="3"/>
  <c r="K14" i="3"/>
  <c r="K18" i="3"/>
  <c r="K125" i="3"/>
  <c r="K13" i="3"/>
  <c r="J18" i="3"/>
  <c r="I27" i="3"/>
  <c r="I31" i="3" s="1"/>
  <c r="I33" i="3" s="1"/>
  <c r="I36" i="3" s="1"/>
  <c r="I20" i="3"/>
  <c r="I8" i="3"/>
  <c r="I125" i="3"/>
  <c r="I13" i="3"/>
  <c r="K19" i="3"/>
  <c r="J11" i="3"/>
  <c r="J125" i="3"/>
  <c r="J13" i="3"/>
  <c r="L18" i="3"/>
  <c r="H11" i="3"/>
  <c r="J14" i="3"/>
  <c r="I14" i="3"/>
  <c r="I17" i="3"/>
  <c r="J19" i="3"/>
  <c r="L12" i="3"/>
  <c r="H14" i="3"/>
  <c r="H18" i="3"/>
  <c r="J8" i="3"/>
  <c r="J20" i="3"/>
  <c r="L100" i="3"/>
  <c r="L102" i="3" s="1"/>
  <c r="M101" i="3" s="1"/>
  <c r="H27" i="3"/>
  <c r="H31" i="3" s="1"/>
  <c r="H33" i="3" s="1"/>
  <c r="H36" i="3" s="1"/>
  <c r="H38" i="3" s="1"/>
  <c r="H16" i="3" s="1"/>
  <c r="H20" i="3"/>
  <c r="I11" i="3"/>
  <c r="I9" i="3"/>
  <c r="L20" i="3"/>
  <c r="M20" i="3" s="1"/>
  <c r="N20" i="3" s="1"/>
  <c r="O20" i="3" s="1"/>
  <c r="P20" i="3" s="1"/>
  <c r="Q20" i="3" s="1"/>
  <c r="L8" i="3"/>
  <c r="L19" i="3"/>
  <c r="H9" i="3"/>
  <c r="J10" i="3"/>
  <c r="K8" i="3"/>
  <c r="K20" i="3"/>
  <c r="I10" i="3"/>
  <c r="L125" i="3"/>
  <c r="L13" i="3"/>
  <c r="I72" i="3"/>
  <c r="I3" i="3" s="1"/>
  <c r="L70" i="3"/>
  <c r="L72" i="3" s="1"/>
  <c r="L3" i="3" s="1"/>
  <c r="J27" i="3"/>
  <c r="J31" i="3" s="1"/>
  <c r="J33" i="3" s="1"/>
  <c r="J36" i="3" s="1"/>
  <c r="J38" i="3" s="1"/>
  <c r="J16" i="3" s="1"/>
  <c r="K27" i="3"/>
  <c r="K31" i="3" s="1"/>
  <c r="K33" i="3" s="1"/>
  <c r="K36" i="3" s="1"/>
  <c r="K38" i="3" s="1"/>
  <c r="K16" i="3" s="1"/>
  <c r="L27" i="3"/>
  <c r="L31" i="3" s="1"/>
  <c r="L33" i="3" s="1"/>
  <c r="L36" i="3" s="1"/>
  <c r="L38" i="3" s="1"/>
  <c r="L16" i="3" s="1"/>
  <c r="M156" i="2"/>
  <c r="L156" i="2"/>
  <c r="K156" i="2"/>
  <c r="L31" i="2"/>
  <c r="K31" i="2"/>
  <c r="J31" i="2"/>
  <c r="I31" i="2"/>
  <c r="H31" i="2"/>
  <c r="M17" i="3" l="1"/>
  <c r="N17" i="3" s="1"/>
  <c r="O17" i="3" s="1"/>
  <c r="P17" i="3" s="1"/>
  <c r="Q17" i="3" s="1"/>
  <c r="O49" i="3"/>
  <c r="O112" i="3" s="1"/>
  <c r="O53" i="3"/>
  <c r="O87" i="3" s="1"/>
  <c r="M12" i="3"/>
  <c r="N12" i="3" s="1"/>
  <c r="O12" i="3" s="1"/>
  <c r="P12" i="3" s="1"/>
  <c r="Q12" i="3" s="1"/>
  <c r="P122" i="3"/>
  <c r="P124" i="3" s="1"/>
  <c r="O62" i="3"/>
  <c r="E6" i="4"/>
  <c r="H6" i="4" s="1"/>
  <c r="I6" i="4" s="1"/>
  <c r="J6" i="4" s="1"/>
  <c r="K6" i="4" s="1"/>
  <c r="L6" i="4" s="1"/>
  <c r="E7" i="4"/>
  <c r="H7" i="4" s="1"/>
  <c r="I7" i="4" s="1"/>
  <c r="J7" i="4" s="1"/>
  <c r="K7" i="4" s="1"/>
  <c r="L7" i="4" s="1"/>
  <c r="E5" i="4"/>
  <c r="H5" i="4" s="1"/>
  <c r="O2" i="3"/>
  <c r="I4" i="4"/>
  <c r="M10" i="3"/>
  <c r="N10" i="3" s="1"/>
  <c r="O10" i="3" s="1"/>
  <c r="P10" i="3" s="1"/>
  <c r="Q10" i="3" s="1"/>
  <c r="M13" i="3"/>
  <c r="H37" i="9" s="1"/>
  <c r="H39" i="9" s="1"/>
  <c r="H48" i="9" s="1"/>
  <c r="E136" i="3" s="1"/>
  <c r="M19" i="3"/>
  <c r="N19" i="3" s="1"/>
  <c r="O19" i="3" s="1"/>
  <c r="P19" i="3" s="1"/>
  <c r="Q19" i="3" s="1"/>
  <c r="J15" i="3"/>
  <c r="I38" i="3"/>
  <c r="I16" i="3" s="1"/>
  <c r="M16" i="3" s="1"/>
  <c r="N16" i="3" s="1"/>
  <c r="O16" i="3" s="1"/>
  <c r="P16" i="3" s="1"/>
  <c r="Q16" i="3" s="1"/>
  <c r="I15" i="3"/>
  <c r="L15" i="3"/>
  <c r="M11" i="3"/>
  <c r="N11" i="3" s="1"/>
  <c r="O11" i="3" s="1"/>
  <c r="P11" i="3" s="1"/>
  <c r="Q11" i="3" s="1"/>
  <c r="M9" i="3"/>
  <c r="N9" i="3" s="1"/>
  <c r="O9" i="3" s="1"/>
  <c r="P9" i="3" s="1"/>
  <c r="Q9" i="3" s="1"/>
  <c r="K15" i="3"/>
  <c r="M18" i="3"/>
  <c r="N18" i="3" s="1"/>
  <c r="O18" i="3" s="1"/>
  <c r="P18" i="3" s="1"/>
  <c r="Q18" i="3" s="1"/>
  <c r="H15" i="3"/>
  <c r="M14" i="3"/>
  <c r="N14" i="3" s="1"/>
  <c r="O14" i="3" s="1"/>
  <c r="P14" i="3" s="1"/>
  <c r="Q14" i="3" s="1"/>
  <c r="M118" i="3" l="1"/>
  <c r="M79" i="3" s="1"/>
  <c r="I149" i="3" s="1"/>
  <c r="P62" i="3"/>
  <c r="Q122" i="3"/>
  <c r="Q124" i="3" s="1"/>
  <c r="Q62" i="3" s="1"/>
  <c r="P53" i="3"/>
  <c r="P87" i="3" s="1"/>
  <c r="M32" i="3"/>
  <c r="P49" i="3"/>
  <c r="P112" i="3"/>
  <c r="N13" i="3"/>
  <c r="M125" i="3"/>
  <c r="P2" i="3"/>
  <c r="J4" i="4"/>
  <c r="I5" i="4"/>
  <c r="J5" i="4" s="1"/>
  <c r="K5" i="4" s="1"/>
  <c r="L5" i="4" s="1"/>
  <c r="M15" i="3"/>
  <c r="N15" i="3" s="1"/>
  <c r="O15" i="3" s="1"/>
  <c r="P15" i="3" s="1"/>
  <c r="Q15" i="3" s="1"/>
  <c r="Q49" i="3" l="1"/>
  <c r="Q112" i="3" s="1"/>
  <c r="M34" i="3"/>
  <c r="M97" i="3"/>
  <c r="Q53" i="3"/>
  <c r="Q87" i="3" s="1"/>
  <c r="O13" i="3"/>
  <c r="N125" i="3"/>
  <c r="M8" i="3" a="1"/>
  <c r="Q2" i="3"/>
  <c r="L4" i="4" s="1"/>
  <c r="K4" i="4"/>
  <c r="N34" i="3" l="1"/>
  <c r="N97" i="3"/>
  <c r="P13" i="3"/>
  <c r="O125" i="3"/>
  <c r="M8" i="3"/>
  <c r="M25" i="3" s="1"/>
  <c r="M47" i="3" s="1"/>
  <c r="O8" i="3"/>
  <c r="N8" i="3"/>
  <c r="Q8" i="3"/>
  <c r="P8" i="3"/>
  <c r="M109" i="3" l="1"/>
  <c r="O34" i="3"/>
  <c r="O97" i="3"/>
  <c r="M29" i="3"/>
  <c r="M117" i="3"/>
  <c r="I150" i="3" s="1"/>
  <c r="M30" i="3"/>
  <c r="M26" i="3"/>
  <c r="M35" i="3"/>
  <c r="Q13" i="3"/>
  <c r="Q125" i="3" s="1"/>
  <c r="P125" i="3"/>
  <c r="N25" i="3"/>
  <c r="N47" i="3" s="1"/>
  <c r="M89" i="3" l="1"/>
  <c r="M80" i="3"/>
  <c r="Q34" i="3"/>
  <c r="Q97" i="3"/>
  <c r="M119" i="3"/>
  <c r="M85" i="3"/>
  <c r="M91" i="3" s="1"/>
  <c r="P34" i="3"/>
  <c r="P97" i="3"/>
  <c r="M27" i="3"/>
  <c r="M31" i="3" s="1"/>
  <c r="M33" i="3" s="1"/>
  <c r="M48" i="3"/>
  <c r="M59" i="3"/>
  <c r="N109" i="3"/>
  <c r="O25" i="3"/>
  <c r="O47" i="3" s="1"/>
  <c r="N26" i="3"/>
  <c r="N117" i="3"/>
  <c r="N35" i="3"/>
  <c r="N29" i="3"/>
  <c r="N30" i="3"/>
  <c r="N85" i="3" l="1"/>
  <c r="J150" i="3"/>
  <c r="M64" i="3"/>
  <c r="M111" i="3"/>
  <c r="N89" i="3"/>
  <c r="N80" i="3"/>
  <c r="M110" i="3"/>
  <c r="N91" i="3"/>
  <c r="M36" i="3"/>
  <c r="M37" i="3" s="1"/>
  <c r="M38" i="3" s="1"/>
  <c r="I146" i="3"/>
  <c r="N116" i="3"/>
  <c r="N118" i="3" s="1"/>
  <c r="M51" i="3"/>
  <c r="N27" i="3"/>
  <c r="N48" i="3"/>
  <c r="N110" i="3" s="1"/>
  <c r="N59" i="3"/>
  <c r="O109" i="3"/>
  <c r="N31" i="3"/>
  <c r="P25" i="3"/>
  <c r="P47" i="3" s="1"/>
  <c r="O30" i="3"/>
  <c r="O26" i="3"/>
  <c r="O117" i="3"/>
  <c r="O35" i="3"/>
  <c r="O29" i="3"/>
  <c r="O85" i="3" l="1"/>
  <c r="K150" i="3"/>
  <c r="M113" i="3"/>
  <c r="I151" i="3" s="1"/>
  <c r="O48" i="3"/>
  <c r="O110" i="3" s="1"/>
  <c r="O59" i="3"/>
  <c r="I147" i="3"/>
  <c r="I148" i="3" s="1"/>
  <c r="N119" i="3"/>
  <c r="O27" i="3"/>
  <c r="O31" i="3" s="1"/>
  <c r="N32" i="3"/>
  <c r="N33" i="3" s="1"/>
  <c r="N79" i="3"/>
  <c r="J149" i="3" s="1"/>
  <c r="M96" i="3"/>
  <c r="M98" i="3" s="1"/>
  <c r="M78" i="3"/>
  <c r="P109" i="3"/>
  <c r="N111" i="3"/>
  <c r="N113" i="3" s="1"/>
  <c r="N64" i="3"/>
  <c r="O89" i="3"/>
  <c r="O80" i="3"/>
  <c r="Q25" i="3"/>
  <c r="Q47" i="3" s="1"/>
  <c r="Q109" i="3" s="1"/>
  <c r="P30" i="3"/>
  <c r="P26" i="3"/>
  <c r="P117" i="3"/>
  <c r="P35" i="3"/>
  <c r="P29" i="3"/>
  <c r="O91" i="3" l="1"/>
  <c r="P85" i="3"/>
  <c r="L150" i="3"/>
  <c r="N81" i="3"/>
  <c r="J151" i="3"/>
  <c r="I152" i="3"/>
  <c r="I154" i="3" s="1"/>
  <c r="M81" i="3"/>
  <c r="M82" i="3" s="1"/>
  <c r="M100" i="3" s="1"/>
  <c r="M102" i="3" s="1"/>
  <c r="N36" i="3"/>
  <c r="N37" i="3" s="1"/>
  <c r="N38" i="3" s="1"/>
  <c r="J146" i="3"/>
  <c r="P59" i="3"/>
  <c r="P48" i="3"/>
  <c r="O111" i="3"/>
  <c r="O113" i="3" s="1"/>
  <c r="O64" i="3"/>
  <c r="O116" i="3"/>
  <c r="N51" i="3"/>
  <c r="P27" i="3"/>
  <c r="P31" i="3" s="1"/>
  <c r="P89" i="3"/>
  <c r="P80" i="3"/>
  <c r="M67" i="3"/>
  <c r="Q30" i="3"/>
  <c r="Q26" i="3"/>
  <c r="Q117" i="3"/>
  <c r="Q35" i="3"/>
  <c r="Q29" i="3"/>
  <c r="P91" i="3" l="1"/>
  <c r="O81" i="3"/>
  <c r="K151" i="3"/>
  <c r="Q85" i="3"/>
  <c r="M150" i="3"/>
  <c r="Q27" i="3"/>
  <c r="Q31" i="3" s="1"/>
  <c r="Q59" i="3"/>
  <c r="Q48" i="3"/>
  <c r="Q110" i="3" s="1"/>
  <c r="O118" i="3"/>
  <c r="O119" i="3" s="1"/>
  <c r="P64" i="3"/>
  <c r="P111" i="3"/>
  <c r="J147" i="3"/>
  <c r="J148" i="3" s="1"/>
  <c r="J152" i="3" s="1"/>
  <c r="J154" i="3" s="1"/>
  <c r="M45" i="3"/>
  <c r="M55" i="3" s="1"/>
  <c r="N101" i="3"/>
  <c r="P110" i="3"/>
  <c r="M68" i="3"/>
  <c r="M70" i="3" s="1"/>
  <c r="Q89" i="3"/>
  <c r="Q80" i="3"/>
  <c r="N96" i="3"/>
  <c r="N98" i="3" s="1"/>
  <c r="N78" i="3"/>
  <c r="N82" i="3" s="1"/>
  <c r="N100" i="3" l="1"/>
  <c r="N102" i="3" s="1"/>
  <c r="Q91" i="3"/>
  <c r="M72" i="3"/>
  <c r="M3" i="3" s="1"/>
  <c r="P116" i="3"/>
  <c r="O51" i="3"/>
  <c r="N67" i="3"/>
  <c r="O79" i="3"/>
  <c r="K149" i="3" s="1"/>
  <c r="O32" i="3"/>
  <c r="O33" i="3" s="1"/>
  <c r="P113" i="3"/>
  <c r="Q64" i="3"/>
  <c r="Q111" i="3"/>
  <c r="Q113" i="3" s="1"/>
  <c r="O101" i="3" l="1"/>
  <c r="N45" i="3"/>
  <c r="N55" i="3" s="1"/>
  <c r="P81" i="3"/>
  <c r="L151" i="3"/>
  <c r="Q81" i="3"/>
  <c r="M151" i="3"/>
  <c r="N68" i="3"/>
  <c r="N70" i="3" s="1"/>
  <c r="P118" i="3"/>
  <c r="P119" i="3" s="1"/>
  <c r="O36" i="3"/>
  <c r="O37" i="3" s="1"/>
  <c r="O38" i="3" s="1"/>
  <c r="K146" i="3"/>
  <c r="N72" i="3" l="1"/>
  <c r="N3" i="3" s="1"/>
  <c r="K147" i="3"/>
  <c r="K148" i="3" s="1"/>
  <c r="K152" i="3" s="1"/>
  <c r="K154" i="3" s="1"/>
  <c r="Q116" i="3"/>
  <c r="P51" i="3"/>
  <c r="P79" i="3"/>
  <c r="L149" i="3" s="1"/>
  <c r="P32" i="3"/>
  <c r="P33" i="3" s="1"/>
  <c r="O96" i="3"/>
  <c r="O98" i="3" s="1"/>
  <c r="O78" i="3"/>
  <c r="O82" i="3" s="1"/>
  <c r="O67" i="3" l="1"/>
  <c r="O68" i="3" s="1"/>
  <c r="O70" i="3" s="1"/>
  <c r="P36" i="3"/>
  <c r="P37" i="3" s="1"/>
  <c r="P38" i="3" s="1"/>
  <c r="L146" i="3"/>
  <c r="O100" i="3"/>
  <c r="O102" i="3" s="1"/>
  <c r="Q118" i="3"/>
  <c r="Q119" i="3" s="1"/>
  <c r="Q51" i="3" s="1"/>
  <c r="P96" i="3" l="1"/>
  <c r="P98" i="3" s="1"/>
  <c r="P78" i="3"/>
  <c r="P82" i="3" s="1"/>
  <c r="Q79" i="3"/>
  <c r="M149" i="3" s="1"/>
  <c r="Q32" i="3"/>
  <c r="Q33" i="3" s="1"/>
  <c r="P101" i="3"/>
  <c r="O45" i="3"/>
  <c r="O55" i="3" s="1"/>
  <c r="O72" i="3" s="1"/>
  <c r="O3" i="3" s="1"/>
  <c r="L147" i="3"/>
  <c r="L148" i="3" s="1"/>
  <c r="L152" i="3" s="1"/>
  <c r="L154" i="3" s="1"/>
  <c r="P67" i="3"/>
  <c r="Q36" i="3" l="1"/>
  <c r="M146" i="3"/>
  <c r="R142" i="3" s="1"/>
  <c r="P68" i="3"/>
  <c r="P70" i="3" s="1"/>
  <c r="P100" i="3"/>
  <c r="P102" i="3" s="1"/>
  <c r="Q101" i="3" l="1"/>
  <c r="P45" i="3"/>
  <c r="P55" i="3" s="1"/>
  <c r="P72" i="3" s="1"/>
  <c r="P3" i="3" s="1"/>
  <c r="M147" i="3"/>
  <c r="M148" i="3" s="1"/>
  <c r="M152" i="3" s="1"/>
  <c r="R143" i="3" s="1"/>
  <c r="Q37" i="3"/>
  <c r="Q38" i="3" s="1"/>
  <c r="R144" i="3" l="1"/>
  <c r="N152" i="3" s="1"/>
  <c r="M154" i="3"/>
  <c r="Q96" i="3"/>
  <c r="Q98" i="3" s="1"/>
  <c r="Q78" i="3"/>
  <c r="Q82" i="3" s="1"/>
  <c r="N154" i="3" l="1"/>
  <c r="E160" i="3" s="1"/>
  <c r="E164" i="3" s="1"/>
  <c r="E166" i="3" s="1"/>
  <c r="I185" i="3" s="1"/>
  <c r="Q67" i="3"/>
  <c r="Q68" i="3" s="1"/>
  <c r="Q70" i="3" s="1"/>
  <c r="Q100" i="3"/>
  <c r="Q102" i="3" s="1"/>
  <c r="Q45" i="3" s="1"/>
  <c r="Q55" i="3" s="1"/>
  <c r="Q72" i="3" l="1"/>
  <c r="Q3" i="3" s="1"/>
  <c r="O161" i="3"/>
  <c r="O162" i="3" s="1"/>
  <c r="I17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anshi</author>
  </authors>
  <commentList>
    <comment ref="G7" authorId="0" shapeId="0" xr:uid="{724F6112-05B4-4C3B-B9B5-1096CCDBAD22}">
      <text>
        <r>
          <rPr>
            <b/>
            <sz val="9"/>
            <color indexed="81"/>
            <rFont val="Tahoma"/>
            <family val="2"/>
          </rPr>
          <t>anshi:</t>
        </r>
        <r>
          <rPr>
            <sz val="9"/>
            <color indexed="81"/>
            <rFont val="Tahoma"/>
            <family val="2"/>
          </rPr>
          <t xml:space="preserve">
It's hidden 
</t>
        </r>
      </text>
    </comment>
    <comment ref="E12" authorId="0" shapeId="0" xr:uid="{5C9DDE5D-C3BA-4A01-BE07-DE422F222C51}">
      <text>
        <r>
          <rPr>
            <b/>
            <sz val="9"/>
            <color indexed="81"/>
            <rFont val="Tahoma"/>
            <family val="2"/>
          </rPr>
          <t>anshi:</t>
        </r>
        <r>
          <rPr>
            <sz val="9"/>
            <color indexed="81"/>
            <rFont val="Tahoma"/>
            <family val="2"/>
          </rPr>
          <t xml:space="preserve">
Take opening PPE.</t>
        </r>
      </text>
    </comment>
    <comment ref="M13" authorId="0" shapeId="0" xr:uid="{E311AAB5-B5B3-44B3-8E6A-AA6AE2C9EC43}">
      <text>
        <r>
          <rPr>
            <b/>
            <sz val="9"/>
            <color indexed="81"/>
            <rFont val="Tahoma"/>
            <family val="2"/>
          </rPr>
          <t>anshi:</t>
        </r>
        <r>
          <rPr>
            <sz val="9"/>
            <color indexed="81"/>
            <rFont val="Tahoma"/>
            <family val="2"/>
          </rPr>
          <t xml:space="preserve">
Will be used in Wacc as pre tax cost of debt
</t>
        </r>
      </text>
    </comment>
    <comment ref="D37" authorId="0" shapeId="0" xr:uid="{5CFD0104-59CF-47EF-9D58-B347A80402AD}">
      <text>
        <r>
          <rPr>
            <b/>
            <sz val="9"/>
            <color indexed="81"/>
            <rFont val="Tahoma"/>
            <family val="2"/>
          </rPr>
          <t>anshi:</t>
        </r>
        <r>
          <rPr>
            <sz val="9"/>
            <color indexed="81"/>
            <rFont val="Tahoma"/>
            <family val="2"/>
          </rPr>
          <t xml:space="preserve">
Take Current tax and Deffered both.</t>
        </r>
      </text>
    </comment>
    <comment ref="H142" authorId="0" shapeId="0" xr:uid="{5CEC5204-1D31-4FBE-B882-954751E60E12}">
      <text>
        <r>
          <rPr>
            <b/>
            <sz val="9"/>
            <color indexed="81"/>
            <rFont val="Tahoma"/>
            <family val="2"/>
          </rPr>
          <t>anshi:</t>
        </r>
        <r>
          <rPr>
            <sz val="9"/>
            <color indexed="81"/>
            <rFont val="Tahoma"/>
            <family val="2"/>
          </rPr>
          <t xml:space="preserve">
Date of Transation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anshi</author>
  </authors>
  <commentList>
    <comment ref="H8" authorId="0" shapeId="0" xr:uid="{D79FD873-045B-4636-87AE-298D5FC551A9}">
      <text>
        <r>
          <rPr>
            <b/>
            <sz val="9"/>
            <color indexed="81"/>
            <rFont val="Tahoma"/>
            <family val="2"/>
          </rPr>
          <t>anshi:</t>
        </r>
        <r>
          <rPr>
            <sz val="9"/>
            <color indexed="81"/>
            <rFont val="Tahoma"/>
            <family val="2"/>
          </rPr>
          <t xml:space="preserve">
market cap is equity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anshi</author>
  </authors>
  <commentList>
    <comment ref="I7" authorId="0" shapeId="0" xr:uid="{1C29325B-2A24-4B24-8987-CEAFF5AF721A}">
      <text>
        <r>
          <rPr>
            <b/>
            <sz val="9"/>
            <color indexed="81"/>
            <rFont val="Tahoma"/>
            <family val="2"/>
          </rPr>
          <t>anshi:</t>
        </r>
        <r>
          <rPr>
            <sz val="9"/>
            <color indexed="81"/>
            <rFont val="Tahoma"/>
            <family val="2"/>
          </rPr>
          <t xml:space="preserve">
Select Bull Case in Model and copy intrinsic value here
</t>
        </r>
      </text>
    </comment>
    <comment ref="I9" authorId="0" shapeId="0" xr:uid="{B92205FF-42AD-42D3-8F85-AD446330FFA6}">
      <text>
        <r>
          <rPr>
            <b/>
            <sz val="9"/>
            <color indexed="81"/>
            <rFont val="Tahoma"/>
            <family val="2"/>
          </rPr>
          <t>anshi:</t>
        </r>
        <r>
          <rPr>
            <sz val="9"/>
            <color indexed="81"/>
            <rFont val="Tahoma"/>
            <family val="2"/>
          </rPr>
          <t xml:space="preserve">
Select Bear Case and copy intrinsic value
</t>
        </r>
      </text>
    </comment>
  </commentList>
</comments>
</file>

<file path=xl/sharedStrings.xml><?xml version="1.0" encoding="utf-8"?>
<sst xmlns="http://schemas.openxmlformats.org/spreadsheetml/2006/main" count="645" uniqueCount="446">
  <si>
    <t>Units</t>
  </si>
  <si>
    <t>Alkem Laboratories Limited</t>
  </si>
  <si>
    <t>Historical Financial Information</t>
  </si>
  <si>
    <t>INCOME STATEMENT</t>
  </si>
  <si>
    <t>Income</t>
  </si>
  <si>
    <t>(a) Revenue from operations</t>
  </si>
  <si>
    <t>(b) Other income</t>
  </si>
  <si>
    <t>Total income</t>
  </si>
  <si>
    <t>Expenses</t>
  </si>
  <si>
    <t>(a) Cost of materials consumed</t>
  </si>
  <si>
    <t>(b) Purchases of stock-in-trade</t>
  </si>
  <si>
    <t>(c) Changes in inventories of finished goods, work-in-progress and</t>
  </si>
  <si>
    <t>stock-in-trade</t>
  </si>
  <si>
    <t>(d) Employee benefits expense</t>
  </si>
  <si>
    <t>(e) Finance costs</t>
  </si>
  <si>
    <t>(f ) Depreciation and amortisation expense</t>
  </si>
  <si>
    <t>(g) Other expenses</t>
  </si>
  <si>
    <t>Total expenses</t>
  </si>
  <si>
    <t>INCOME</t>
  </si>
  <si>
    <t>Other Income</t>
  </si>
  <si>
    <t>Profit before exceptional items and tax (1) - (2)</t>
  </si>
  <si>
    <t>Exceptional items</t>
  </si>
  <si>
    <t>Profit before tax (3) + (4)</t>
  </si>
  <si>
    <t>Tax expense</t>
  </si>
  <si>
    <t>(a) Current tax</t>
  </si>
  <si>
    <t>(b) Deferred tax charge/(credit) (net)</t>
  </si>
  <si>
    <t>Tax adjustment of earlier periods</t>
  </si>
  <si>
    <t>Total tax expenses (a + b)</t>
  </si>
  <si>
    <t>Profit for the year (5) - (6)</t>
  </si>
  <si>
    <t>Profit attributable to Non-Controlling Interest</t>
  </si>
  <si>
    <t>Profit attributable to Owners of the Company (7) - (8)</t>
  </si>
  <si>
    <t>BALANCE SHEET</t>
  </si>
  <si>
    <t>ASSETS</t>
  </si>
  <si>
    <t>Non-current assets</t>
  </si>
  <si>
    <t>(a) Property, plant and equipment</t>
  </si>
  <si>
    <t>Right of use assets</t>
  </si>
  <si>
    <t>(b) Capital work in progress</t>
  </si>
  <si>
    <t>(c) Goodwill</t>
  </si>
  <si>
    <t>(d) Other intangible assets</t>
  </si>
  <si>
    <t>(e) Goodwill on consolidation</t>
  </si>
  <si>
    <t>Intangible assets under development</t>
  </si>
  <si>
    <t>(f) Financial assets</t>
  </si>
  <si>
    <t>(i) Investments</t>
  </si>
  <si>
    <t>(ii) Loans</t>
  </si>
  <si>
    <t>(iii) Other financial assets</t>
  </si>
  <si>
    <t>(g) Deferred tax assets (net)</t>
  </si>
  <si>
    <t>(h) Non-current tax assets (net)</t>
  </si>
  <si>
    <t>(i) Other non-current assets</t>
  </si>
  <si>
    <t>Total non-current assets</t>
  </si>
  <si>
    <t>Current assets</t>
  </si>
  <si>
    <t>(a) Inventories</t>
  </si>
  <si>
    <t>(b) Financial assets</t>
  </si>
  <si>
    <t>(ii) Trade receivables</t>
  </si>
  <si>
    <t>(iii) Cash and cash equivalents</t>
  </si>
  <si>
    <t>(iv) Bank balances other than (iii) above</t>
  </si>
  <si>
    <t>(v) Loans</t>
  </si>
  <si>
    <t>(vi) Other financial assets</t>
  </si>
  <si>
    <t>(c) Other current assets</t>
  </si>
  <si>
    <t>(d) Non-current assets held for sale</t>
  </si>
  <si>
    <t>Total current assets</t>
  </si>
  <si>
    <t>TOTAL ASSETS</t>
  </si>
  <si>
    <t>EQUITY AND LIABILITIES</t>
  </si>
  <si>
    <t>Equity</t>
  </si>
  <si>
    <t>(a) Equity share capital</t>
  </si>
  <si>
    <t>(b) Other equity</t>
  </si>
  <si>
    <t>Equity attributable to owners of the Company</t>
  </si>
  <si>
    <t>(c) Non-controlling interest</t>
  </si>
  <si>
    <t>Total Equity</t>
  </si>
  <si>
    <t>Liabilities</t>
  </si>
  <si>
    <t>Non-current liabilities</t>
  </si>
  <si>
    <t>(a) Financial liabilities</t>
  </si>
  <si>
    <t>(i) Borrowings</t>
  </si>
  <si>
    <t>Lease liabilities</t>
  </si>
  <si>
    <t>Other financial liabilities</t>
  </si>
  <si>
    <t>(b) Provisions</t>
  </si>
  <si>
    <t>(c) Deferred tax liabilities (net)</t>
  </si>
  <si>
    <t>-</t>
  </si>
  <si>
    <t>(d) Other non-current liabilities</t>
  </si>
  <si>
    <t>Total non-current liabilities</t>
  </si>
  <si>
    <t>Current liabilities</t>
  </si>
  <si>
    <t>(ii) Lease Liabilities</t>
  </si>
  <si>
    <t>(iii) Trade payables</t>
  </si>
  <si>
    <t>Dues of micro and small enterprises</t>
  </si>
  <si>
    <t>Dues of creditors other than micro and small enterprises</t>
  </si>
  <si>
    <t>(iii) Other financial liabilities</t>
  </si>
  <si>
    <t>(b) Other current liabilities</t>
  </si>
  <si>
    <t>(c) Provisions</t>
  </si>
  <si>
    <t>(d) Current tax liabilities (net)</t>
  </si>
  <si>
    <t>Total current liabilities</t>
  </si>
  <si>
    <t>Total Liabilities</t>
  </si>
  <si>
    <t>TOTAL EQUITY AND LIABILITIES</t>
  </si>
  <si>
    <t>CASH FLOW STATEMENT</t>
  </si>
  <si>
    <t>A. Cash Flow from Operating Activities:</t>
  </si>
  <si>
    <t>Profit before tax</t>
  </si>
  <si>
    <t>Adjustments for:</t>
  </si>
  <si>
    <t>Depreciation and amortisation expense</t>
  </si>
  <si>
    <t>Liabilities no longer required written back</t>
  </si>
  <si>
    <t>Profit on sale of investments</t>
  </si>
  <si>
    <t>Unrealised (gain) / loss on fair valuation of investments (net)</t>
  </si>
  <si>
    <t>Profit on sale of property plant and equipment (net)</t>
  </si>
  <si>
    <t>Employee stock compensation</t>
  </si>
  <si>
    <t>Recovery of Bad debts</t>
  </si>
  <si>
    <t>Unrealised foreign currency (gain) / loss on revaluation (net)</t>
  </si>
  <si>
    <t>Dividend Income</t>
  </si>
  <si>
    <t>Profit on sale of brand (net)</t>
  </si>
  <si>
    <t>Impairment loss on property, plant and equipment</t>
  </si>
  <si>
    <t>Interest Income</t>
  </si>
  <si>
    <t>Interest expenses</t>
  </si>
  <si>
    <t>Allowances for doubtful debts</t>
  </si>
  <si>
    <t>Rent Income</t>
  </si>
  <si>
    <t>Subtotal of Adjustments</t>
  </si>
  <si>
    <t>Operating profit before working capital changes</t>
  </si>
  <si>
    <t>Adjustments for changes in working capital:</t>
  </si>
  <si>
    <t>(Increase) in trade receivables</t>
  </si>
  <si>
    <t>(Increase) / Decrease in loans, other financial assets and other assets</t>
  </si>
  <si>
    <t>(Increase) Decrease in inventories</t>
  </si>
  <si>
    <t>Increase / (Decrease) in trade payable, other financial liabilities and other liabilities</t>
  </si>
  <si>
    <t>Increase in provisions</t>
  </si>
  <si>
    <t>Subtotal of adjustments</t>
  </si>
  <si>
    <t>Cash generated from operations</t>
  </si>
  <si>
    <t>Less: Income taxes paid (net of refund)</t>
  </si>
  <si>
    <t>Net Cash generated from operating activities</t>
  </si>
  <si>
    <t>B Cash Flow from Investing Activities:</t>
  </si>
  <si>
    <t>Purchases of property, plant and equipment</t>
  </si>
  <si>
    <t>Sale of property, plant and equipment</t>
  </si>
  <si>
    <t>(Purchase of) / Proceeds from sale of investments (net)</t>
  </si>
  <si>
    <t>Purchase of Investments (net)</t>
  </si>
  <si>
    <t>(Investment made in) / Redemption of bank deposits having maturity of more</t>
  </si>
  <si>
    <t>Dividend received</t>
  </si>
  <si>
    <t>Interest received</t>
  </si>
  <si>
    <t>Rent received</t>
  </si>
  <si>
    <t>Net cash generated from / (used in) investing activities</t>
  </si>
  <si>
    <t>C Cash Flow from Financing Activities:</t>
  </si>
  <si>
    <t>Repayment of non-current borrowings (net)</t>
  </si>
  <si>
    <t>Proceeds from current borrowings (net)</t>
  </si>
  <si>
    <t>Proceeds from issue of compulsory convertible preferance shares</t>
  </si>
  <si>
    <t>Dividends paid</t>
  </si>
  <si>
    <t>Repayment of lease liabilities (net)</t>
  </si>
  <si>
    <t>Interest paid</t>
  </si>
  <si>
    <t>Net cash (used in)/generated from financing activities</t>
  </si>
  <si>
    <t>D Net (decrease)/increase in cash and cash equivalents (A+B+C)</t>
  </si>
  <si>
    <t>E Cash and cash equivalents as at beginning of the year</t>
  </si>
  <si>
    <t>Add/Less: Effect of exchange difference on foreign currency</t>
  </si>
  <si>
    <t>Cash and cash equivalents as at end of the year</t>
  </si>
  <si>
    <t>SEGMENTED REVENUE</t>
  </si>
  <si>
    <t>India</t>
  </si>
  <si>
    <t>United States of America</t>
  </si>
  <si>
    <t>Other Countries</t>
  </si>
  <si>
    <t>QUARTERLY FINANCIALS</t>
  </si>
  <si>
    <t>Sales</t>
  </si>
  <si>
    <t>Operating Profit</t>
  </si>
  <si>
    <t>Depreciation</t>
  </si>
  <si>
    <t>Interest</t>
  </si>
  <si>
    <t>Tax</t>
  </si>
  <si>
    <t>Net profit</t>
  </si>
  <si>
    <t>Financial Statements &amp; DCF Analysis</t>
  </si>
  <si>
    <t>Historical Period</t>
  </si>
  <si>
    <t>Forecast Period</t>
  </si>
  <si>
    <t>Income Statement</t>
  </si>
  <si>
    <t>Revenue</t>
  </si>
  <si>
    <t>Cost of Good Sold (COGS)</t>
  </si>
  <si>
    <t>Gross Profit</t>
  </si>
  <si>
    <t>EXPENSES</t>
  </si>
  <si>
    <t>Salaries and benefits</t>
  </si>
  <si>
    <t>Other SG&amp;A Expenses</t>
  </si>
  <si>
    <t>EBITDA</t>
  </si>
  <si>
    <t>Depreciation &amp; Amortization Expenses</t>
  </si>
  <si>
    <t>EBIT</t>
  </si>
  <si>
    <t>Other Income (Expenses)</t>
  </si>
  <si>
    <t>Earnings before Tax</t>
  </si>
  <si>
    <t>Taxes</t>
  </si>
  <si>
    <t>Net Earnings</t>
  </si>
  <si>
    <t>Balance Sheet</t>
  </si>
  <si>
    <t>Assets</t>
  </si>
  <si>
    <t>Current Assets:</t>
  </si>
  <si>
    <t>Non-Current Assets:</t>
  </si>
  <si>
    <t>Cash</t>
  </si>
  <si>
    <t>Bank Deposits</t>
  </si>
  <si>
    <t>Accounts Receivable</t>
  </si>
  <si>
    <t>Inventory</t>
  </si>
  <si>
    <t>Other Current Assets</t>
  </si>
  <si>
    <t>Property &amp; Equipment</t>
  </si>
  <si>
    <t>Goodwill</t>
  </si>
  <si>
    <t>Total Assets</t>
  </si>
  <si>
    <r>
      <rPr>
        <b/>
        <sz val="11"/>
        <color theme="1"/>
        <rFont val="Calibri"/>
        <family val="2"/>
      </rPr>
      <t>₹</t>
    </r>
    <r>
      <rPr>
        <b/>
        <sz val="11"/>
        <color theme="1"/>
        <rFont val="Book Antiqua"/>
        <family val="1"/>
      </rPr>
      <t xml:space="preserve"> MM</t>
    </r>
  </si>
  <si>
    <r>
      <rPr>
        <sz val="11"/>
        <color theme="1"/>
        <rFont val="Calibri"/>
        <family val="2"/>
      </rPr>
      <t>₹</t>
    </r>
    <r>
      <rPr>
        <sz val="11"/>
        <color theme="1"/>
        <rFont val="Book Antiqua"/>
        <family val="1"/>
      </rPr>
      <t xml:space="preserve"> MM</t>
    </r>
  </si>
  <si>
    <t>Current Liabilities:</t>
  </si>
  <si>
    <t>Accounts Payable</t>
  </si>
  <si>
    <t>Other Current Liability</t>
  </si>
  <si>
    <t>Non-Current Liabilities:</t>
  </si>
  <si>
    <t>Debt</t>
  </si>
  <si>
    <t>Other Non-Current Liability</t>
  </si>
  <si>
    <t>Shareholder's Equity</t>
  </si>
  <si>
    <t>Equity Capital</t>
  </si>
  <si>
    <t>Retained Earnings</t>
  </si>
  <si>
    <t>Non-Controlling Interest</t>
  </si>
  <si>
    <t>Total Liabilities &amp; Shareholder's Equity</t>
  </si>
  <si>
    <t>Check</t>
  </si>
  <si>
    <t>Master Check</t>
  </si>
  <si>
    <t>Cash Flow Statement</t>
  </si>
  <si>
    <t>Operating Cash Flow</t>
  </si>
  <si>
    <t>Plus/Less: Adjustment for Operating Assets &amp; Liabilities</t>
  </si>
  <si>
    <t>Cash From Operations</t>
  </si>
  <si>
    <t>Investing Cash Flow</t>
  </si>
  <si>
    <t>Investments in Property &amp; Equipment</t>
  </si>
  <si>
    <t>Purchases/sale of investments</t>
  </si>
  <si>
    <t>Cash from Investing</t>
  </si>
  <si>
    <t>Financing Cash Flow</t>
  </si>
  <si>
    <t>Issuance(repayment) of debt</t>
  </si>
  <si>
    <t>Issuance(repayment) of preference shares - NCI</t>
  </si>
  <si>
    <t>Cash from Financing</t>
  </si>
  <si>
    <t>Net Increase (decrease) in Cash</t>
  </si>
  <si>
    <t>Opening Cash Balance</t>
  </si>
  <si>
    <t>Closing Cash Balance</t>
  </si>
  <si>
    <t>Plus: Depreciation &amp; Amortization</t>
  </si>
  <si>
    <t>Plus/Less: Other Adjustments</t>
  </si>
  <si>
    <t>Supporting Schedules</t>
  </si>
  <si>
    <t>Working Capital</t>
  </si>
  <si>
    <t>Others</t>
  </si>
  <si>
    <t>Total</t>
  </si>
  <si>
    <t>Depreciation Schedule</t>
  </si>
  <si>
    <t>PPE Opening</t>
  </si>
  <si>
    <t>Plus Capex</t>
  </si>
  <si>
    <t>Less Depreciation</t>
  </si>
  <si>
    <t>PPE Closing</t>
  </si>
  <si>
    <t>₹ MM</t>
  </si>
  <si>
    <t>Debt &amp; Interest Schedule</t>
  </si>
  <si>
    <t>Debt Opening</t>
  </si>
  <si>
    <t>Issuance (repayment)</t>
  </si>
  <si>
    <t>Debt Closing</t>
  </si>
  <si>
    <t>Interest Expense</t>
  </si>
  <si>
    <t>Ratios &amp; Assumptions</t>
  </si>
  <si>
    <t xml:space="preserve">Revenue Growth </t>
  </si>
  <si>
    <t>%</t>
  </si>
  <si>
    <t>Cost of Goods Sold (% of Revenue)</t>
  </si>
  <si>
    <t>Salaries and benefits (% of Revenue)</t>
  </si>
  <si>
    <t>Other SG&amp;A Expenses (% of Revenue)</t>
  </si>
  <si>
    <t>Depreciation &amp; Amortization Expenses (% of PP&amp;E)</t>
  </si>
  <si>
    <t>Interest (% of Debt)</t>
  </si>
  <si>
    <t>Other Income (Expenses) (% of Revenue)</t>
  </si>
  <si>
    <t>Tax Rate (% of Earnings before Tax)</t>
  </si>
  <si>
    <t>Dividends Payout</t>
  </si>
  <si>
    <t>Days</t>
  </si>
  <si>
    <t>Times</t>
  </si>
  <si>
    <t>Scenarios</t>
  </si>
  <si>
    <t>Base Case</t>
  </si>
  <si>
    <t>Bull Case</t>
  </si>
  <si>
    <t>Bear Case</t>
  </si>
  <si>
    <t>Growth (%)</t>
  </si>
  <si>
    <t>Annual Growth Tapering</t>
  </si>
  <si>
    <t>LIVE SCENARIO</t>
  </si>
  <si>
    <t>Q-o-q growth (%)</t>
  </si>
  <si>
    <t>31-03-2024E</t>
  </si>
  <si>
    <t>2024E</t>
  </si>
  <si>
    <t>CAGR</t>
  </si>
  <si>
    <t>Market Data</t>
  </si>
  <si>
    <t>Financial Data</t>
  </si>
  <si>
    <t>Valuation</t>
  </si>
  <si>
    <t>Price</t>
  </si>
  <si>
    <t>Shares</t>
  </si>
  <si>
    <t>Market Cap</t>
  </si>
  <si>
    <t>EV</t>
  </si>
  <si>
    <t>Earnings</t>
  </si>
  <si>
    <t>EV/Sales</t>
  </si>
  <si>
    <t>EV/EBITDA</t>
  </si>
  <si>
    <t>P/E</t>
  </si>
  <si>
    <t>Company Name</t>
  </si>
  <si>
    <t>&amp; Equivalents</t>
  </si>
  <si>
    <t>x</t>
  </si>
  <si>
    <t>Dr. Reddy's Laboratories Limited</t>
  </si>
  <si>
    <t>Zydus Lifesciences Limited</t>
  </si>
  <si>
    <t>Torrent Pharmaceuticals Limited</t>
  </si>
  <si>
    <t>Mankind Pharma Limited</t>
  </si>
  <si>
    <t>Lupin Limited</t>
  </si>
  <si>
    <t>Aurobindo Pharma Limited</t>
  </si>
  <si>
    <t>Abbott India Limited</t>
  </si>
  <si>
    <t>GlaxoSmithKline Pharmaceuticals Limited</t>
  </si>
  <si>
    <t>Ipca Laboratories Limited</t>
  </si>
  <si>
    <t>Gland Pharma Limited</t>
  </si>
  <si>
    <t>Average</t>
  </si>
  <si>
    <t>Median</t>
  </si>
  <si>
    <t>Metric</t>
  </si>
  <si>
    <t>Comps</t>
  </si>
  <si>
    <t>Net Debt</t>
  </si>
  <si>
    <t>Equity Value</t>
  </si>
  <si>
    <t>Share Price</t>
  </si>
  <si>
    <t>EV/Revenue</t>
  </si>
  <si>
    <r>
      <t>(</t>
    </r>
    <r>
      <rPr>
        <sz val="12"/>
        <color theme="0"/>
        <rFont val="Calibri"/>
        <family val="2"/>
      </rPr>
      <t>₹</t>
    </r>
    <r>
      <rPr>
        <i/>
        <sz val="10.8"/>
        <color theme="0"/>
        <rFont val="Book Antiqua"/>
        <family val="1"/>
      </rPr>
      <t>/share)</t>
    </r>
  </si>
  <si>
    <t>M</t>
  </si>
  <si>
    <t>ALKEM</t>
  </si>
  <si>
    <t>ZYDUSLIFE</t>
  </si>
  <si>
    <t>MANKIND</t>
  </si>
  <si>
    <t>AUROPHARMA</t>
  </si>
  <si>
    <t>IPCALAB</t>
  </si>
  <si>
    <t>GLAND</t>
  </si>
  <si>
    <t>Net Income</t>
  </si>
  <si>
    <t>Tax %</t>
  </si>
  <si>
    <t>Company</t>
  </si>
  <si>
    <t>Ticker</t>
  </si>
  <si>
    <t>Weighted-Average Cost of Capital (WACC)</t>
  </si>
  <si>
    <t>All Amounts Denominated in INR MM Unless Otherwise Stated</t>
  </si>
  <si>
    <t>Comparable Companies Beta</t>
  </si>
  <si>
    <t>Levered</t>
  </si>
  <si>
    <t>Unlevered</t>
  </si>
  <si>
    <t>Capital</t>
  </si>
  <si>
    <t>Tax Rate</t>
  </si>
  <si>
    <t>Beta</t>
  </si>
  <si>
    <t>Alkem Pharma</t>
  </si>
  <si>
    <t>WACC Calculation</t>
  </si>
  <si>
    <t>Target Capital Structure</t>
  </si>
  <si>
    <t>Proportion of Debt</t>
  </si>
  <si>
    <t>Proportion of Equity</t>
  </si>
  <si>
    <t>Current Capital Structure</t>
  </si>
  <si>
    <t>Total Debt</t>
  </si>
  <si>
    <t>Debt / Equity</t>
  </si>
  <si>
    <t>Cost of Debt</t>
  </si>
  <si>
    <t>Pre-Tax Cost of Debt</t>
  </si>
  <si>
    <t>After-Tax Cost of Debt</t>
  </si>
  <si>
    <t>Cost of Equity</t>
  </si>
  <si>
    <t>Risk Free Rate</t>
  </si>
  <si>
    <t>Equity Market Return</t>
  </si>
  <si>
    <t>Equity Risk Premium</t>
  </si>
  <si>
    <t>Levered Equity Beta</t>
  </si>
  <si>
    <t>WACC</t>
  </si>
  <si>
    <t>Index</t>
  </si>
  <si>
    <t>Date</t>
  </si>
  <si>
    <t>Close Price</t>
  </si>
  <si>
    <t>Yearfrac</t>
  </si>
  <si>
    <t>Nifty 50 TRI</t>
  </si>
  <si>
    <t>Market Return</t>
  </si>
  <si>
    <t>Value</t>
  </si>
  <si>
    <t xml:space="preserve">Total </t>
  </si>
  <si>
    <t>Debt/</t>
  </si>
  <si>
    <t>Rate %</t>
  </si>
  <si>
    <t>DCF Model</t>
  </si>
  <si>
    <t>% Change</t>
  </si>
  <si>
    <t>Stock</t>
  </si>
  <si>
    <t>Monthly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</si>
  <si>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</si>
  <si>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</si>
  <si>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</si>
  <si>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</si>
  <si>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</si>
  <si>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</si>
  <si>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</si>
  <si>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</si>
  <si>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</si>
  <si>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</si>
  <si>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</si>
  <si>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</si>
  <si>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</si>
  <si>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</si>
  <si>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</si>
  <si>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</si>
  <si>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</si>
  <si>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</si>
  <si>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</si>
  <si>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</si>
  <si>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</si>
  <si>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</si>
  <si>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</si>
  <si>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</si>
  <si>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Company Beta</t>
  </si>
  <si>
    <t>Assumptions</t>
  </si>
  <si>
    <t>Transaction Date</t>
  </si>
  <si>
    <t>Fiscal Year End</t>
  </si>
  <si>
    <t>Discounted Cash Flow</t>
  </si>
  <si>
    <t>Entry</t>
  </si>
  <si>
    <t>Exit</t>
  </si>
  <si>
    <t>Time periods</t>
  </si>
  <si>
    <t>Year frac.</t>
  </si>
  <si>
    <t>Less: Cash Taxes</t>
  </si>
  <si>
    <t>NOPAT</t>
  </si>
  <si>
    <t>Plus: Depreciation &amp; Amoritzation</t>
  </si>
  <si>
    <t>Less: Capex</t>
  </si>
  <si>
    <t>Less: Changes in NWC</t>
  </si>
  <si>
    <t>Unlevered FCFF</t>
  </si>
  <si>
    <t>Terminal Value</t>
  </si>
  <si>
    <t>EV/EBITDA Multiple</t>
  </si>
  <si>
    <t>Perp. Growth</t>
  </si>
  <si>
    <t>Perpetual Growth Rate</t>
  </si>
  <si>
    <t>Discount Rate</t>
  </si>
  <si>
    <t>Transaction FCFF</t>
  </si>
  <si>
    <t>Intrinsic Value</t>
  </si>
  <si>
    <t>Enterprise Value</t>
  </si>
  <si>
    <t>Plus: Cash &amp; Equivalents</t>
  </si>
  <si>
    <t>Less: Debt</t>
  </si>
  <si>
    <t>Less: Non-Controlling Interest</t>
  </si>
  <si>
    <t>Shares Outstanding</t>
  </si>
  <si>
    <t>Equity Value/Share</t>
  </si>
  <si>
    <t>Market Value</t>
  </si>
  <si>
    <t>Current Price</t>
  </si>
  <si>
    <t>Plus: Debt</t>
  </si>
  <si>
    <t>Plus: Non-Controlling Interest</t>
  </si>
  <si>
    <t>Less: Cash &amp; Equivalents</t>
  </si>
  <si>
    <t>Rate of Return</t>
  </si>
  <si>
    <t>Target Price</t>
  </si>
  <si>
    <t>TP Upside</t>
  </si>
  <si>
    <t>Sensitivity Analysis</t>
  </si>
  <si>
    <t>Sensitivties - Intrinsic Value (Rs./Share)</t>
  </si>
  <si>
    <t>Exit Multiple</t>
  </si>
  <si>
    <t>Valuation Summary - Football Field</t>
  </si>
  <si>
    <t>Football Field Data</t>
  </si>
  <si>
    <t>DCF</t>
  </si>
  <si>
    <t>Low</t>
  </si>
  <si>
    <t>Min</t>
  </si>
  <si>
    <t>Max</t>
  </si>
  <si>
    <t>Consensus</t>
  </si>
  <si>
    <t>52-week hi/lo</t>
  </si>
  <si>
    <t>Market</t>
  </si>
  <si>
    <t>High</t>
  </si>
  <si>
    <t>Source: www.finchat.io</t>
  </si>
  <si>
    <t>Comps Data</t>
  </si>
  <si>
    <t>Comps Valuation</t>
  </si>
  <si>
    <t>Valuation Summary</t>
  </si>
  <si>
    <t>Financial Model</t>
  </si>
  <si>
    <t>Inputs</t>
  </si>
  <si>
    <t>Historical Financial Statement</t>
  </si>
  <si>
    <t>Calculation &amp; Analysis</t>
  </si>
  <si>
    <t>Debt Schedule</t>
  </si>
  <si>
    <t>Outputs</t>
  </si>
  <si>
    <t>Comparables Analysis</t>
  </si>
  <si>
    <t>+</t>
  </si>
  <si>
    <t>COGS</t>
  </si>
  <si>
    <t>Don't take them</t>
  </si>
  <si>
    <t>This should be matched</t>
  </si>
  <si>
    <t>Accounts Receivable  (AR/Revenue*365)</t>
  </si>
  <si>
    <t>Inventory (Inventory/COGS)*365</t>
  </si>
  <si>
    <t>Capital Asset Turnover Ratio (Revenue/PPE)</t>
  </si>
  <si>
    <t>Financial Assets (Includes current financial assets and NCA also)</t>
  </si>
  <si>
    <t>Other Non-Current Assets (Tax asset also)</t>
  </si>
  <si>
    <t>Taking Median should be first preference, if not much difference between values then take avg.</t>
  </si>
  <si>
    <t>Industry Unlevered beta</t>
  </si>
  <si>
    <t>Go to website like Investing.com and search India 10-year bond- take rate</t>
  </si>
  <si>
    <t>Ko</t>
  </si>
  <si>
    <t>From sites of- world bank or Statista</t>
  </si>
  <si>
    <t>EBITDA*EV/EBITDA Multiple</t>
  </si>
  <si>
    <t>Don't take above taxes</t>
  </si>
  <si>
    <t>No. of Shares given in Last Annual Report.</t>
  </si>
  <si>
    <t>This depicts that stock is trading close to its intrinsic value</t>
  </si>
  <si>
    <t>What if Analysis</t>
  </si>
  <si>
    <t>ALT&gt;A&gt;W&gt;T&gt; In Row Input cell -Select E136 i.e. EV/EBITDA Multiple &gt; Column Input cell- Select E138 i.e. Discount Rate</t>
  </si>
  <si>
    <t>Rest are manual</t>
  </si>
  <si>
    <t>Here Row Input cell- Perpetual growth rate</t>
  </si>
  <si>
    <t>Select Data&gt; Insert&gt; Recommended Charts&gt; Go to All Charts&gt; Select STOCK&gt; select 2nd one</t>
  </si>
  <si>
    <t>Manual- jo hme lgta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</si>
</sst>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,###;\(#,###\);\-"/>
    <numFmt numFmtId="165" formatCode="#,##0.0"/>
    <numFmt numFmtId="166" formatCode="#,##0.000"/>
    <numFmt numFmtId="167" formatCode="#&quot;A&quot;"/>
    <numFmt numFmtId="168" formatCode="#&quot;E&quot;"/>
    <numFmt numFmtId="169" formatCode="#,##0;\(#,##0\);&quot;-&quot;"/>
    <numFmt numFmtId="170" formatCode="0.0%"/>
    <numFmt numFmtId="171" formatCode="#,##0.0&quot;x&quot;"/>
    <numFmt numFmtId="172" formatCode="0.0000000000000000%"/>
    <numFmt numFmtId="173" formatCode=";;;"/>
    <numFmt numFmtId="174" formatCode="&quot;₹&quot;#,##0_);[Red]\(&quot;₹&quot;#,##0\)"/>
    <numFmt numFmtId="175" formatCode="&quot;$&quot;#,##0_);\(&quot;$&quot;#,##0\)"/>
    <numFmt numFmtId="176" formatCode="0.0\x"/>
    <numFmt numFmtId="177" formatCode="&quot;$&quot;#,##0.00_);\(&quot;$&quot;#,##0.00\)"/>
    <numFmt numFmtId="178" formatCode="_-* #,##0.00_-;\-* #,##0.00_-;_-* &quot;-&quot;??_-;_-@_-"/>
    <numFmt numFmtId="179" formatCode="_-* #,##0_-;\(#,##0\)_-;_-* &quot;-&quot;_-;_-@_-"/>
    <numFmt numFmtId="180" formatCode="_-* #,##0_-;\-* #,##0_-;_-* &quot;-&quot;??_-;_-@_-"/>
    <numFmt numFmtId="181" formatCode="yyyy/mm/dd;@"/>
    <numFmt numFmtId="182" formatCode="_(* #,##0.00_);_(* \(#,##0.00\);_(* &quot;-&quot;??_);_(@_)"/>
    <numFmt numFmtId="183" formatCode="&quot;$&quot;#,##0;\-&quot;$&quot;#,##0"/>
    <numFmt numFmtId="184" formatCode="0.0000000"/>
  </numFmts>
  <fonts count="63" x14ac:knownFonts="1">
    <font>
      <sz val="11"/>
      <color theme="1"/>
      <name val="Calibri"/>
      <family val="2"/>
      <scheme val="minor"/>
    </font>
    <font>
      <b/>
      <sz val="25"/>
      <color theme="0"/>
      <name val="Book Antiqua"/>
      <family val="1"/>
    </font>
    <font>
      <sz val="11"/>
      <color theme="1"/>
      <name val="Book Antiqua"/>
      <family val="1"/>
    </font>
    <font>
      <b/>
      <sz val="12"/>
      <color theme="0"/>
      <name val="Book Antiqua"/>
      <family val="1"/>
    </font>
    <font>
      <b/>
      <sz val="11"/>
      <color theme="1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b/>
      <sz val="11"/>
      <color theme="0"/>
      <name val="Book Antiqua"/>
      <family val="1"/>
    </font>
    <font>
      <b/>
      <sz val="16"/>
      <color theme="0"/>
      <name val="Book Antiqua"/>
      <family val="1"/>
    </font>
    <font>
      <sz val="11"/>
      <color theme="1"/>
      <name val="Calibri"/>
      <family val="2"/>
    </font>
    <font>
      <sz val="11"/>
      <color theme="1"/>
      <name val="Book Antiqua"/>
      <family val="2"/>
    </font>
    <font>
      <b/>
      <sz val="11"/>
      <color theme="1"/>
      <name val="Book Antiqua"/>
      <family val="2"/>
    </font>
    <font>
      <b/>
      <sz val="11"/>
      <color theme="1"/>
      <name val="Calibri"/>
      <family val="2"/>
    </font>
    <font>
      <b/>
      <sz val="11"/>
      <color rgb="FF00B050"/>
      <name val="Book Antiqua"/>
      <family val="1"/>
    </font>
    <font>
      <sz val="11"/>
      <color rgb="FF00B050"/>
      <name val="Book Antiqua"/>
      <family val="1"/>
    </font>
    <font>
      <b/>
      <sz val="12"/>
      <color theme="9" tint="-0.499984740745262"/>
      <name val="Book Antiqua"/>
      <family val="1"/>
    </font>
    <font>
      <sz val="11"/>
      <color theme="9" tint="-0.499984740745262"/>
      <name val="Book Antiqua"/>
      <family val="1"/>
    </font>
    <font>
      <b/>
      <i/>
      <sz val="11"/>
      <color theme="9" tint="-0.499984740745262"/>
      <name val="Book Antiqua"/>
      <family val="1"/>
    </font>
    <font>
      <i/>
      <sz val="11"/>
      <color theme="1"/>
      <name val="Book Antiqua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b/>
      <sz val="12"/>
      <color theme="1"/>
      <name val="Book Antiqua"/>
      <family val="1"/>
    </font>
    <font>
      <sz val="12"/>
      <color rgb="FF0000FF"/>
      <name val="Book Antiqua"/>
      <family val="1"/>
    </font>
    <font>
      <i/>
      <sz val="11"/>
      <name val="Book Antiqua"/>
      <family val="1"/>
    </font>
    <font>
      <sz val="10"/>
      <name val="Arial"/>
      <family val="2"/>
    </font>
    <font>
      <sz val="12"/>
      <color theme="0"/>
      <name val="Book Antiqua"/>
      <family val="1"/>
    </font>
    <font>
      <b/>
      <sz val="12"/>
      <color rgb="FFFFFFFF"/>
      <name val="Book Antiqua"/>
      <family val="1"/>
    </font>
    <font>
      <i/>
      <sz val="12"/>
      <color theme="0"/>
      <name val="Book Antiqua"/>
      <family val="1"/>
    </font>
    <font>
      <sz val="10"/>
      <name val="Times New Roman"/>
      <family val="1"/>
    </font>
    <font>
      <sz val="12"/>
      <name val="Book Antiqua"/>
      <family val="1"/>
    </font>
    <font>
      <sz val="12"/>
      <color theme="0"/>
      <name val="Calibri"/>
      <family val="2"/>
    </font>
    <font>
      <i/>
      <sz val="10.8"/>
      <color theme="0"/>
      <name val="Book Antiqua"/>
      <family val="1"/>
    </font>
    <font>
      <sz val="11"/>
      <color theme="1"/>
      <name val="Arial Narrow"/>
      <family val="2"/>
    </font>
    <font>
      <b/>
      <sz val="14"/>
      <color rgb="FFFFFFFF"/>
      <name val="Book Antiqua"/>
      <family val="1"/>
    </font>
    <font>
      <i/>
      <sz val="10"/>
      <color theme="0"/>
      <name val="Book Antiqua"/>
      <family val="1"/>
    </font>
    <font>
      <b/>
      <sz val="12"/>
      <name val="Book Antiqua"/>
      <family val="1"/>
    </font>
    <font>
      <sz val="11"/>
      <color rgb="FF0000FF"/>
      <name val="Book Antiqua"/>
      <family val="1"/>
    </font>
    <font>
      <b/>
      <sz val="12"/>
      <color rgb="FF0000FF"/>
      <name val="Book Antiqua"/>
      <family val="1"/>
    </font>
    <font>
      <sz val="12"/>
      <color rgb="FF1F995B"/>
      <name val="Book Antiqua"/>
      <family val="1"/>
    </font>
    <font>
      <sz val="8"/>
      <color theme="0"/>
      <name val="Book Antiqua"/>
      <family val="1"/>
    </font>
    <font>
      <sz val="10"/>
      <name val="Book Antiqua"/>
      <family val="1"/>
    </font>
    <font>
      <i/>
      <sz val="11"/>
      <color theme="1"/>
      <name val="Calibri"/>
      <family val="2"/>
      <scheme val="minor"/>
    </font>
    <font>
      <i/>
      <sz val="11"/>
      <color rgb="FF0000FF"/>
      <name val="Book Antiqua"/>
      <family val="1"/>
    </font>
    <font>
      <b/>
      <i/>
      <sz val="11"/>
      <color theme="1"/>
      <name val="Book Antiqua"/>
      <family val="1"/>
    </font>
    <font>
      <i/>
      <u/>
      <sz val="11"/>
      <color theme="1"/>
      <name val="Book Antiqua"/>
      <family val="1"/>
    </font>
    <font>
      <sz val="11"/>
      <color theme="0"/>
      <name val="Book Antiqua"/>
      <family val="1"/>
    </font>
    <font>
      <sz val="12"/>
      <color rgb="FF101113"/>
      <name val="Book Antiqua"/>
      <family val="1"/>
    </font>
    <font>
      <sz val="12"/>
      <color rgb="FF00B050"/>
      <name val="Book Antiqua"/>
      <family val="1"/>
    </font>
    <font>
      <u/>
      <sz val="12.65"/>
      <color theme="10"/>
      <name val="Calibri"/>
      <family val="2"/>
    </font>
    <font>
      <u/>
      <sz val="11"/>
      <color theme="0"/>
      <name val="Book Antiqua"/>
      <family val="1"/>
    </font>
    <font>
      <u/>
      <sz val="11"/>
      <color rgb="FF9AC240"/>
      <name val="Book Antiqua"/>
      <family val="1"/>
    </font>
    <font>
      <sz val="11"/>
      <color rgb="FF9AC240"/>
      <name val="Book Antiqua"/>
      <family val="1"/>
    </font>
    <font>
      <sz val="11"/>
      <color theme="9" tint="0.249977111117893"/>
      <name val="Book Antiqua"/>
      <family val="1"/>
    </font>
    <font>
      <u/>
      <sz val="10"/>
      <color theme="10"/>
      <name val="Arial"/>
      <family val="2"/>
    </font>
    <font>
      <u/>
      <sz val="10"/>
      <name val="Book Antiqua"/>
      <family val="1"/>
    </font>
    <font>
      <u/>
      <sz val="11"/>
      <name val="Book Antiqua"/>
      <family val="1"/>
    </font>
    <font>
      <b/>
      <sz val="12"/>
      <color theme="3" tint="-0.499984740745262"/>
      <name val="Book Antiqua"/>
      <family val="1"/>
    </font>
    <font>
      <sz val="11"/>
      <color theme="3" tint="-0.499984740745262"/>
      <name val="Book Antiqua"/>
      <family val="1"/>
    </font>
    <font>
      <b/>
      <sz val="11"/>
      <color theme="3" tint="-0.499984740745262"/>
      <name val="Book Antiqua"/>
      <family val="1"/>
    </font>
    <font>
      <u/>
      <sz val="11"/>
      <color theme="3" tint="-0.499984740745262"/>
      <name val="Book Antiqu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25" fillId="0" borderId="0"/>
    <xf numFmtId="0" fontId="19" fillId="0" borderId="0"/>
    <xf numFmtId="0" fontId="29" fillId="0" borderId="0"/>
    <xf numFmtId="178" fontId="19" fillId="0" borderId="0" applyFont="0" applyFill="0" applyBorder="0" applyAlignment="0" applyProtection="0"/>
    <xf numFmtId="0" fontId="33" fillId="0" borderId="0"/>
    <xf numFmtId="0" fontId="19" fillId="0" borderId="0"/>
    <xf numFmtId="9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0" fontId="19" fillId="0" borderId="0"/>
    <xf numFmtId="0" fontId="19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</cellStyleXfs>
  <cellXfs count="30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9" fontId="2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/>
    <xf numFmtId="164" fontId="6" fillId="0" borderId="0" xfId="0" applyNumberFormat="1" applyFont="1"/>
    <xf numFmtId="164" fontId="5" fillId="0" borderId="0" xfId="0" applyNumberFormat="1" applyFont="1"/>
    <xf numFmtId="165" fontId="6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166" fontId="6" fillId="0" borderId="0" xfId="0" applyNumberFormat="1" applyFont="1"/>
    <xf numFmtId="4" fontId="5" fillId="0" borderId="2" xfId="0" applyNumberFormat="1" applyFont="1" applyBorder="1"/>
    <xf numFmtId="0" fontId="6" fillId="0" borderId="2" xfId="0" applyFont="1" applyBorder="1"/>
    <xf numFmtId="2" fontId="4" fillId="0" borderId="3" xfId="0" applyNumberFormat="1" applyFont="1" applyBorder="1"/>
    <xf numFmtId="15" fontId="5" fillId="0" borderId="1" xfId="0" applyNumberFormat="1" applyFont="1" applyBorder="1"/>
    <xf numFmtId="168" fontId="7" fillId="2" borderId="0" xfId="0" applyNumberFormat="1" applyFont="1" applyFill="1"/>
    <xf numFmtId="168" fontId="7" fillId="2" borderId="4" xfId="0" applyNumberFormat="1" applyFont="1" applyFill="1" applyBorder="1"/>
    <xf numFmtId="167" fontId="7" fillId="3" borderId="0" xfId="0" applyNumberFormat="1" applyFont="1" applyFill="1"/>
    <xf numFmtId="0" fontId="7" fillId="3" borderId="0" xfId="0" applyFont="1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7" fillId="2" borderId="4" xfId="0" applyFont="1" applyFill="1" applyBorder="1" applyAlignment="1">
      <alignment horizontal="centerContinuous"/>
    </xf>
    <xf numFmtId="0" fontId="8" fillId="2" borderId="0" xfId="0" applyFont="1" applyFill="1"/>
    <xf numFmtId="0" fontId="4" fillId="0" borderId="0" xfId="0" applyFont="1"/>
    <xf numFmtId="0" fontId="10" fillId="0" borderId="0" xfId="0" applyFont="1"/>
    <xf numFmtId="169" fontId="2" fillId="0" borderId="0" xfId="0" applyNumberFormat="1" applyFont="1"/>
    <xf numFmtId="0" fontId="11" fillId="0" borderId="0" xfId="0" applyFont="1"/>
    <xf numFmtId="169" fontId="4" fillId="0" borderId="0" xfId="0" applyNumberFormat="1" applyFont="1"/>
    <xf numFmtId="169" fontId="13" fillId="0" borderId="0" xfId="0" applyNumberFormat="1" applyFont="1"/>
    <xf numFmtId="0" fontId="4" fillId="0" borderId="5" xfId="0" applyFont="1" applyBorder="1"/>
    <xf numFmtId="0" fontId="2" fillId="0" borderId="5" xfId="0" applyFont="1" applyBorder="1"/>
    <xf numFmtId="0" fontId="10" fillId="0" borderId="5" xfId="0" applyFont="1" applyBorder="1"/>
    <xf numFmtId="169" fontId="4" fillId="0" borderId="5" xfId="0" applyNumberFormat="1" applyFont="1" applyBorder="1"/>
    <xf numFmtId="0" fontId="10" fillId="0" borderId="1" xfId="0" applyFont="1" applyBorder="1"/>
    <xf numFmtId="169" fontId="14" fillId="0" borderId="0" xfId="0" applyNumberFormat="1" applyFont="1"/>
    <xf numFmtId="169" fontId="14" fillId="0" borderId="1" xfId="0" applyNumberFormat="1" applyFont="1" applyBorder="1"/>
    <xf numFmtId="0" fontId="4" fillId="0" borderId="3" xfId="0" applyFont="1" applyBorder="1"/>
    <xf numFmtId="0" fontId="2" fillId="0" borderId="3" xfId="0" applyFont="1" applyBorder="1"/>
    <xf numFmtId="0" fontId="10" fillId="0" borderId="3" xfId="0" applyFont="1" applyBorder="1"/>
    <xf numFmtId="169" fontId="4" fillId="0" borderId="3" xfId="0" applyNumberFormat="1" applyFont="1" applyBorder="1"/>
    <xf numFmtId="3" fontId="4" fillId="0" borderId="3" xfId="0" applyNumberFormat="1" applyFont="1" applyBorder="1"/>
    <xf numFmtId="3" fontId="4" fillId="0" borderId="0" xfId="0" applyNumberFormat="1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166" fontId="18" fillId="0" borderId="0" xfId="0" applyNumberFormat="1" applyFont="1"/>
    <xf numFmtId="169" fontId="5" fillId="0" borderId="0" xfId="0" applyNumberFormat="1" applyFont="1"/>
    <xf numFmtId="169" fontId="5" fillId="0" borderId="5" xfId="0" applyNumberFormat="1" applyFont="1" applyBorder="1"/>
    <xf numFmtId="169" fontId="6" fillId="0" borderId="1" xfId="0" applyNumberFormat="1" applyFont="1" applyBorder="1"/>
    <xf numFmtId="0" fontId="11" fillId="0" borderId="5" xfId="0" applyFont="1" applyBorder="1"/>
    <xf numFmtId="170" fontId="2" fillId="0" borderId="0" xfId="0" applyNumberFormat="1" applyFont="1"/>
    <xf numFmtId="3" fontId="2" fillId="0" borderId="0" xfId="0" applyNumberFormat="1" applyFont="1"/>
    <xf numFmtId="0" fontId="21" fillId="0" borderId="0" xfId="0" applyFont="1"/>
    <xf numFmtId="9" fontId="21" fillId="0" borderId="0" xfId="0" applyNumberFormat="1" applyFont="1"/>
    <xf numFmtId="0" fontId="22" fillId="0" borderId="0" xfId="0" applyFont="1"/>
    <xf numFmtId="170" fontId="21" fillId="0" borderId="0" xfId="0" applyNumberFormat="1" applyFont="1"/>
    <xf numFmtId="170" fontId="21" fillId="0" borderId="6" xfId="0" applyNumberFormat="1" applyFont="1" applyBorder="1"/>
    <xf numFmtId="170" fontId="23" fillId="0" borderId="6" xfId="0" applyNumberFormat="1" applyFont="1" applyBorder="1"/>
    <xf numFmtId="0" fontId="4" fillId="0" borderId="1" xfId="0" applyFont="1" applyBorder="1"/>
    <xf numFmtId="0" fontId="4" fillId="4" borderId="7" xfId="0" applyFont="1" applyFill="1" applyBorder="1" applyAlignment="1">
      <alignment horizontal="center"/>
    </xf>
    <xf numFmtId="0" fontId="24" fillId="0" borderId="0" xfId="0" applyFont="1"/>
    <xf numFmtId="9" fontId="18" fillId="0" borderId="0" xfId="0" applyNumberFormat="1" applyFont="1"/>
    <xf numFmtId="4" fontId="2" fillId="0" borderId="0" xfId="0" applyNumberFormat="1" applyFon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0" fillId="0" borderId="1" xfId="0" applyFont="1" applyBorder="1"/>
    <xf numFmtId="169" fontId="2" fillId="0" borderId="1" xfId="0" applyNumberFormat="1" applyFont="1" applyBorder="1"/>
    <xf numFmtId="167" fontId="17" fillId="0" borderId="0" xfId="0" applyNumberFormat="1" applyFont="1" applyAlignment="1">
      <alignment horizontal="right"/>
    </xf>
    <xf numFmtId="0" fontId="21" fillId="0" borderId="0" xfId="2" applyFont="1"/>
    <xf numFmtId="37" fontId="30" fillId="0" borderId="0" xfId="3" applyNumberFormat="1" applyFont="1" applyAlignment="1">
      <alignment horizontal="left"/>
    </xf>
    <xf numFmtId="174" fontId="23" fillId="0" borderId="0" xfId="2" applyNumberFormat="1" applyFont="1" applyAlignment="1">
      <alignment vertical="center"/>
    </xf>
    <xf numFmtId="37" fontId="23" fillId="0" borderId="0" xfId="2" applyNumberFormat="1" applyFont="1" applyAlignment="1">
      <alignment vertical="center"/>
    </xf>
    <xf numFmtId="174" fontId="21" fillId="0" borderId="0" xfId="2" applyNumberFormat="1" applyFont="1" applyAlignment="1">
      <alignment vertical="center"/>
    </xf>
    <xf numFmtId="175" fontId="21" fillId="0" borderId="0" xfId="2" applyNumberFormat="1" applyFont="1" applyAlignment="1">
      <alignment vertical="center"/>
    </xf>
    <xf numFmtId="0" fontId="21" fillId="0" borderId="0" xfId="2" applyFont="1" applyAlignment="1">
      <alignment vertical="center"/>
    </xf>
    <xf numFmtId="176" fontId="21" fillId="0" borderId="0" xfId="2" applyNumberFormat="1" applyFont="1" applyAlignment="1">
      <alignment vertical="center"/>
    </xf>
    <xf numFmtId="177" fontId="30" fillId="0" borderId="0" xfId="2" applyNumberFormat="1" applyFont="1"/>
    <xf numFmtId="179" fontId="21" fillId="0" borderId="0" xfId="4" applyNumberFormat="1" applyFont="1" applyFill="1" applyAlignment="1" applyProtection="1">
      <alignment horizontal="center"/>
      <protection locked="0"/>
    </xf>
    <xf numFmtId="180" fontId="21" fillId="0" borderId="0" xfId="2" applyNumberFormat="1" applyFont="1"/>
    <xf numFmtId="178" fontId="21" fillId="0" borderId="0" xfId="2" applyNumberFormat="1" applyFont="1"/>
    <xf numFmtId="0" fontId="26" fillId="2" borderId="0" xfId="2" applyFont="1" applyFill="1" applyAlignment="1">
      <alignment vertical="center"/>
    </xf>
    <xf numFmtId="0" fontId="28" fillId="2" borderId="0" xfId="2" applyFont="1" applyFill="1" applyAlignment="1">
      <alignment horizontal="right" vertical="center"/>
    </xf>
    <xf numFmtId="0" fontId="3" fillId="2" borderId="0" xfId="2" applyFont="1" applyFill="1" applyAlignment="1">
      <alignment vertical="center"/>
    </xf>
    <xf numFmtId="0" fontId="3" fillId="2" borderId="0" xfId="2" applyFont="1" applyFill="1" applyAlignment="1">
      <alignment horizontal="right" vertical="center"/>
    </xf>
    <xf numFmtId="0" fontId="26" fillId="2" borderId="0" xfId="2" applyFont="1" applyFill="1" applyAlignment="1">
      <alignment horizontal="right" vertical="center"/>
    </xf>
    <xf numFmtId="0" fontId="28" fillId="2" borderId="0" xfId="2" quotePrefix="1" applyFont="1" applyFill="1" applyAlignment="1">
      <alignment horizontal="right" vertical="center"/>
    </xf>
    <xf numFmtId="0" fontId="31" fillId="2" borderId="0" xfId="2" applyFont="1" applyFill="1" applyAlignment="1">
      <alignment horizontal="right" vertical="center"/>
    </xf>
    <xf numFmtId="0" fontId="26" fillId="3" borderId="0" xfId="2" applyFont="1" applyFill="1" applyAlignment="1">
      <alignment vertical="center"/>
    </xf>
    <xf numFmtId="176" fontId="26" fillId="3" borderId="0" xfId="2" applyNumberFormat="1" applyFont="1" applyFill="1" applyAlignment="1">
      <alignment vertical="center"/>
    </xf>
    <xf numFmtId="0" fontId="3" fillId="2" borderId="0" xfId="2" applyFont="1" applyFill="1"/>
    <xf numFmtId="0" fontId="3" fillId="2" borderId="0" xfId="2" applyFon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1" fillId="0" borderId="0" xfId="2" applyFont="1" applyAlignment="1">
      <alignment horizontal="center"/>
    </xf>
    <xf numFmtId="0" fontId="21" fillId="0" borderId="0" xfId="5" applyFont="1"/>
    <xf numFmtId="0" fontId="21" fillId="0" borderId="0" xfId="6" applyFont="1"/>
    <xf numFmtId="181" fontId="30" fillId="0" borderId="0" xfId="5" applyNumberFormat="1" applyFont="1" applyAlignment="1">
      <alignment horizontal="right"/>
    </xf>
    <xf numFmtId="0" fontId="30" fillId="0" borderId="0" xfId="3" applyFont="1"/>
    <xf numFmtId="0" fontId="36" fillId="0" borderId="0" xfId="3" applyFont="1" applyAlignment="1">
      <alignment horizontal="center"/>
    </xf>
    <xf numFmtId="0" fontId="36" fillId="0" borderId="1" xfId="3" applyFont="1" applyBorder="1" applyAlignment="1">
      <alignment horizontal="center"/>
    </xf>
    <xf numFmtId="0" fontId="36" fillId="0" borderId="1" xfId="3" applyFont="1" applyBorder="1"/>
    <xf numFmtId="0" fontId="21" fillId="0" borderId="1" xfId="5" applyFont="1" applyBorder="1"/>
    <xf numFmtId="170" fontId="30" fillId="0" borderId="0" xfId="7" applyNumberFormat="1" applyFont="1" applyBorder="1" applyAlignment="1">
      <alignment horizontal="right"/>
    </xf>
    <xf numFmtId="2" fontId="23" fillId="0" borderId="0" xfId="3" applyNumberFormat="1" applyFont="1" applyAlignment="1">
      <alignment horizontal="right"/>
    </xf>
    <xf numFmtId="2" fontId="30" fillId="0" borderId="0" xfId="3" applyNumberFormat="1" applyFont="1" applyAlignment="1">
      <alignment horizontal="right"/>
    </xf>
    <xf numFmtId="9" fontId="21" fillId="0" borderId="0" xfId="7" applyFont="1"/>
    <xf numFmtId="170" fontId="30" fillId="0" borderId="1" xfId="7" applyNumberFormat="1" applyFont="1" applyBorder="1" applyAlignment="1">
      <alignment horizontal="right"/>
    </xf>
    <xf numFmtId="2" fontId="23" fillId="0" borderId="1" xfId="3" applyNumberFormat="1" applyFont="1" applyBorder="1" applyAlignment="1">
      <alignment horizontal="right"/>
    </xf>
    <xf numFmtId="2" fontId="30" fillId="0" borderId="1" xfId="3" applyNumberFormat="1" applyFont="1" applyBorder="1" applyAlignment="1">
      <alignment horizontal="right"/>
    </xf>
    <xf numFmtId="0" fontId="2" fillId="0" borderId="0" xfId="5" applyFont="1"/>
    <xf numFmtId="0" fontId="23" fillId="0" borderId="0" xfId="5" applyFont="1"/>
    <xf numFmtId="0" fontId="21" fillId="0" borderId="0" xfId="5" applyFont="1" applyAlignment="1">
      <alignment horizontal="center"/>
    </xf>
    <xf numFmtId="180" fontId="21" fillId="0" borderId="0" xfId="5" applyNumberFormat="1" applyFont="1"/>
    <xf numFmtId="183" fontId="21" fillId="0" borderId="0" xfId="5" applyNumberFormat="1" applyFont="1"/>
    <xf numFmtId="10" fontId="21" fillId="0" borderId="0" xfId="7" applyNumberFormat="1" applyFont="1" applyBorder="1"/>
    <xf numFmtId="0" fontId="36" fillId="5" borderId="0" xfId="3" applyFont="1" applyFill="1" applyAlignment="1">
      <alignment horizontal="left"/>
    </xf>
    <xf numFmtId="0" fontId="21" fillId="5" borderId="0" xfId="5" applyFont="1" applyFill="1"/>
    <xf numFmtId="0" fontId="22" fillId="5" borderId="0" xfId="5" applyFont="1" applyFill="1" applyAlignment="1">
      <alignment horizontal="right"/>
    </xf>
    <xf numFmtId="0" fontId="22" fillId="0" borderId="1" xfId="5" applyFont="1" applyBorder="1" applyAlignment="1">
      <alignment horizontal="right"/>
    </xf>
    <xf numFmtId="170" fontId="30" fillId="0" borderId="0" xfId="3" applyNumberFormat="1" applyFont="1" applyAlignment="1">
      <alignment horizontal="right"/>
    </xf>
    <xf numFmtId="170" fontId="21" fillId="0" borderId="0" xfId="3" applyNumberFormat="1" applyFont="1" applyAlignment="1">
      <alignment horizontal="right"/>
    </xf>
    <xf numFmtId="0" fontId="22" fillId="5" borderId="0" xfId="5" applyFont="1" applyFill="1"/>
    <xf numFmtId="174" fontId="30" fillId="0" borderId="0" xfId="8" applyNumberFormat="1" applyFont="1"/>
    <xf numFmtId="174" fontId="30" fillId="0" borderId="0" xfId="8" applyNumberFormat="1" applyFont="1" applyFill="1"/>
    <xf numFmtId="170" fontId="21" fillId="0" borderId="0" xfId="7" applyNumberFormat="1" applyFont="1" applyBorder="1"/>
    <xf numFmtId="170" fontId="39" fillId="0" borderId="0" xfId="3" applyNumberFormat="1" applyFont="1" applyAlignment="1">
      <alignment horizontal="right"/>
    </xf>
    <xf numFmtId="170" fontId="39" fillId="0" borderId="1" xfId="3" applyNumberFormat="1" applyFont="1" applyBorder="1" applyAlignment="1">
      <alignment horizontal="right"/>
    </xf>
    <xf numFmtId="0" fontId="22" fillId="0" borderId="0" xfId="5" applyFont="1"/>
    <xf numFmtId="170" fontId="22" fillId="0" borderId="0" xfId="7" applyNumberFormat="1" applyFont="1"/>
    <xf numFmtId="170" fontId="22" fillId="0" borderId="5" xfId="3" applyNumberFormat="1" applyFont="1" applyBorder="1" applyAlignment="1">
      <alignment horizontal="right"/>
    </xf>
    <xf numFmtId="0" fontId="22" fillId="0" borderId="9" xfId="5" applyFont="1" applyBorder="1"/>
    <xf numFmtId="170" fontId="22" fillId="0" borderId="9" xfId="3" applyNumberFormat="1" applyFont="1" applyBorder="1" applyAlignment="1">
      <alignment horizontal="right"/>
    </xf>
    <xf numFmtId="37" fontId="1" fillId="2" borderId="0" xfId="5" applyNumberFormat="1" applyFont="1" applyFill="1" applyAlignment="1">
      <alignment vertical="top"/>
    </xf>
    <xf numFmtId="37" fontId="26" fillId="2" borderId="0" xfId="5" applyNumberFormat="1" applyFont="1" applyFill="1" applyAlignment="1">
      <alignment vertical="top"/>
    </xf>
    <xf numFmtId="0" fontId="34" fillId="2" borderId="0" xfId="5" applyFont="1" applyFill="1" applyAlignment="1">
      <alignment horizontal="left" vertical="center" readingOrder="1"/>
    </xf>
    <xf numFmtId="0" fontId="27" fillId="2" borderId="0" xfId="5" applyFont="1" applyFill="1" applyAlignment="1">
      <alignment horizontal="left" vertical="center" readingOrder="1"/>
    </xf>
    <xf numFmtId="37" fontId="35" fillId="2" borderId="0" xfId="5" applyNumberFormat="1" applyFont="1" applyFill="1" applyAlignment="1">
      <alignment vertical="top"/>
    </xf>
    <xf numFmtId="37" fontId="28" fillId="2" borderId="0" xfId="5" applyNumberFormat="1" applyFont="1" applyFill="1" applyAlignment="1">
      <alignment vertical="top"/>
    </xf>
    <xf numFmtId="0" fontId="3" fillId="2" borderId="0" xfId="5" applyFont="1" applyFill="1"/>
    <xf numFmtId="0" fontId="36" fillId="6" borderId="5" xfId="3" applyFont="1" applyFill="1" applyBorder="1"/>
    <xf numFmtId="0" fontId="21" fillId="6" borderId="0" xfId="5" applyFont="1" applyFill="1"/>
    <xf numFmtId="0" fontId="23" fillId="6" borderId="0" xfId="5" applyFont="1" applyFill="1"/>
    <xf numFmtId="0" fontId="38" fillId="6" borderId="0" xfId="3" applyFont="1" applyFill="1" applyAlignment="1">
      <alignment horizontal="right"/>
    </xf>
    <xf numFmtId="170" fontId="36" fillId="6" borderId="0" xfId="3" applyNumberFormat="1" applyFont="1" applyFill="1" applyAlignment="1">
      <alignment horizontal="right"/>
    </xf>
    <xf numFmtId="182" fontId="36" fillId="6" borderId="0" xfId="8" applyFont="1" applyFill="1" applyBorder="1" applyAlignment="1">
      <alignment horizontal="right"/>
    </xf>
    <xf numFmtId="0" fontId="36" fillId="6" borderId="0" xfId="3" applyFont="1" applyFill="1"/>
    <xf numFmtId="0" fontId="36" fillId="6" borderId="0" xfId="3" applyFont="1" applyFill="1" applyAlignment="1">
      <alignment horizontal="right"/>
    </xf>
    <xf numFmtId="0" fontId="3" fillId="2" borderId="8" xfId="2" applyFont="1" applyFill="1" applyBorder="1" applyAlignment="1">
      <alignment horizontal="centerContinuous" vertical="center"/>
    </xf>
    <xf numFmtId="0" fontId="26" fillId="2" borderId="8" xfId="2" applyFont="1" applyFill="1" applyBorder="1" applyAlignment="1">
      <alignment horizontal="centerContinuous" vertical="center"/>
    </xf>
    <xf numFmtId="0" fontId="3" fillId="2" borderId="0" xfId="2" applyFont="1" applyFill="1" applyAlignment="1">
      <alignment horizontal="center" vertical="center"/>
    </xf>
    <xf numFmtId="176" fontId="30" fillId="0" borderId="0" xfId="2" applyNumberFormat="1" applyFont="1" applyAlignment="1">
      <alignment horizontal="right"/>
    </xf>
    <xf numFmtId="14" fontId="37" fillId="0" borderId="0" xfId="5" applyNumberFormat="1" applyFont="1"/>
    <xf numFmtId="182" fontId="37" fillId="0" borderId="0" xfId="8" applyFont="1"/>
    <xf numFmtId="170" fontId="41" fillId="0" borderId="0" xfId="7" applyNumberFormat="1" applyFont="1"/>
    <xf numFmtId="170" fontId="2" fillId="0" borderId="0" xfId="5" applyNumberFormat="1" applyFont="1"/>
    <xf numFmtId="14" fontId="2" fillId="0" borderId="0" xfId="5" applyNumberFormat="1" applyFont="1"/>
    <xf numFmtId="184" fontId="2" fillId="0" borderId="0" xfId="5" applyNumberFormat="1" applyFont="1"/>
    <xf numFmtId="0" fontId="1" fillId="2" borderId="0" xfId="5" applyFont="1" applyFill="1"/>
    <xf numFmtId="0" fontId="40" fillId="2" borderId="0" xfId="5" applyFont="1" applyFill="1"/>
    <xf numFmtId="0" fontId="7" fillId="2" borderId="0" xfId="9" applyFont="1" applyFill="1" applyAlignment="1">
      <alignment horizontal="center" vertical="center"/>
    </xf>
    <xf numFmtId="9" fontId="2" fillId="0" borderId="0" xfId="5" applyNumberFormat="1" applyFont="1"/>
    <xf numFmtId="0" fontId="4" fillId="0" borderId="0" xfId="5" applyFont="1"/>
    <xf numFmtId="170" fontId="2" fillId="7" borderId="6" xfId="5" applyNumberFormat="1" applyFont="1" applyFill="1" applyBorder="1"/>
    <xf numFmtId="165" fontId="2" fillId="7" borderId="6" xfId="5" applyNumberFormat="1" applyFont="1" applyFill="1" applyBorder="1"/>
    <xf numFmtId="37" fontId="36" fillId="7" borderId="0" xfId="3" applyNumberFormat="1" applyFont="1" applyFill="1" applyAlignment="1">
      <alignment horizontal="left"/>
    </xf>
    <xf numFmtId="0" fontId="22" fillId="7" borderId="0" xfId="5" applyFont="1" applyFill="1"/>
    <xf numFmtId="170" fontId="36" fillId="7" borderId="0" xfId="7" applyNumberFormat="1" applyFont="1" applyFill="1" applyBorder="1" applyAlignment="1">
      <alignment horizontal="right"/>
    </xf>
    <xf numFmtId="170" fontId="38" fillId="7" borderId="0" xfId="7" applyNumberFormat="1" applyFont="1" applyFill="1" applyBorder="1" applyAlignment="1">
      <alignment horizontal="right"/>
    </xf>
    <xf numFmtId="2" fontId="38" fillId="7" borderId="0" xfId="3" applyNumberFormat="1" applyFont="1" applyFill="1" applyAlignment="1">
      <alignment horizontal="right"/>
    </xf>
    <xf numFmtId="2" fontId="36" fillId="7" borderId="0" xfId="3" applyNumberFormat="1" applyFont="1" applyFill="1" applyAlignment="1">
      <alignment horizontal="right"/>
    </xf>
    <xf numFmtId="172" fontId="21" fillId="0" borderId="0" xfId="5" applyNumberFormat="1" applyFont="1"/>
    <xf numFmtId="0" fontId="36" fillId="0" borderId="0" xfId="3" applyFont="1" applyAlignment="1">
      <alignment horizontal="right"/>
    </xf>
    <xf numFmtId="0" fontId="36" fillId="0" borderId="1" xfId="3" applyFont="1" applyBorder="1" applyAlignment="1">
      <alignment horizontal="right"/>
    </xf>
    <xf numFmtId="182" fontId="2" fillId="0" borderId="0" xfId="8" applyFont="1"/>
    <xf numFmtId="0" fontId="41" fillId="0" borderId="0" xfId="1" applyFont="1"/>
    <xf numFmtId="0" fontId="2" fillId="2" borderId="0" xfId="5" applyFont="1" applyFill="1"/>
    <xf numFmtId="0" fontId="0" fillId="0" borderId="11" xfId="0" applyBorder="1"/>
    <xf numFmtId="0" fontId="42" fillId="0" borderId="10" xfId="0" applyFont="1" applyBorder="1" applyAlignment="1">
      <alignment horizontal="center"/>
    </xf>
    <xf numFmtId="0" fontId="42" fillId="0" borderId="10" xfId="0" applyFont="1" applyBorder="1" applyAlignment="1">
      <alignment horizontal="centerContinuous"/>
    </xf>
    <xf numFmtId="0" fontId="20" fillId="0" borderId="11" xfId="0" applyFont="1" applyBorder="1"/>
    <xf numFmtId="4" fontId="22" fillId="7" borderId="6" xfId="0" applyNumberFormat="1" applyFont="1" applyFill="1" applyBorder="1"/>
    <xf numFmtId="14" fontId="2" fillId="0" borderId="0" xfId="0" applyNumberFormat="1" applyFont="1"/>
    <xf numFmtId="14" fontId="18" fillId="0" borderId="0" xfId="0" applyNumberFormat="1" applyFont="1"/>
    <xf numFmtId="4" fontId="18" fillId="0" borderId="0" xfId="0" applyNumberFormat="1" applyFont="1"/>
    <xf numFmtId="2" fontId="43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44" fillId="0" borderId="0" xfId="0" applyFont="1"/>
    <xf numFmtId="3" fontId="44" fillId="0" borderId="0" xfId="0" applyNumberFormat="1" applyFont="1"/>
    <xf numFmtId="3" fontId="2" fillId="0" borderId="1" xfId="0" applyNumberFormat="1" applyFont="1" applyBorder="1"/>
    <xf numFmtId="4" fontId="7" fillId="2" borderId="0" xfId="0" applyNumberFormat="1" applyFont="1" applyFill="1"/>
    <xf numFmtId="170" fontId="14" fillId="0" borderId="0" xfId="0" applyNumberFormat="1" applyFont="1"/>
    <xf numFmtId="171" fontId="14" fillId="0" borderId="0" xfId="0" applyNumberFormat="1" applyFont="1"/>
    <xf numFmtId="170" fontId="37" fillId="0" borderId="0" xfId="0" applyNumberFormat="1" applyFont="1"/>
    <xf numFmtId="14" fontId="37" fillId="0" borderId="0" xfId="0" applyNumberFormat="1" applyFont="1"/>
    <xf numFmtId="0" fontId="7" fillId="2" borderId="0" xfId="0" applyFont="1" applyFill="1" applyAlignment="1">
      <alignment horizontal="centerContinuous"/>
    </xf>
    <xf numFmtId="176" fontId="4" fillId="0" borderId="0" xfId="0" applyNumberFormat="1" applyFont="1"/>
    <xf numFmtId="0" fontId="4" fillId="0" borderId="1" xfId="0" applyFont="1" applyBorder="1" applyAlignment="1">
      <alignment horizontal="centerContinuous"/>
    </xf>
    <xf numFmtId="170" fontId="4" fillId="0" borderId="0" xfId="0" applyNumberFormat="1" applyFont="1"/>
    <xf numFmtId="176" fontId="4" fillId="0" borderId="12" xfId="0" applyNumberFormat="1" applyFont="1" applyBorder="1"/>
    <xf numFmtId="3" fontId="2" fillId="0" borderId="13" xfId="0" applyNumberFormat="1" applyFont="1" applyBorder="1"/>
    <xf numFmtId="173" fontId="2" fillId="0" borderId="0" xfId="0" applyNumberFormat="1" applyFont="1"/>
    <xf numFmtId="3" fontId="2" fillId="5" borderId="0" xfId="0" applyNumberFormat="1" applyFont="1" applyFill="1"/>
    <xf numFmtId="3" fontId="2" fillId="8" borderId="0" xfId="0" applyNumberFormat="1" applyFont="1" applyFill="1"/>
    <xf numFmtId="170" fontId="4" fillId="0" borderId="12" xfId="0" applyNumberFormat="1" applyFont="1" applyBorder="1"/>
    <xf numFmtId="1" fontId="14" fillId="0" borderId="0" xfId="0" applyNumberFormat="1" applyFont="1"/>
    <xf numFmtId="0" fontId="2" fillId="9" borderId="0" xfId="0" applyFont="1" applyFill="1"/>
    <xf numFmtId="182" fontId="2" fillId="0" borderId="0" xfId="0" applyNumberFormat="1" applyFont="1"/>
    <xf numFmtId="0" fontId="7" fillId="2" borderId="0" xfId="0" applyFont="1" applyFill="1"/>
    <xf numFmtId="0" fontId="2" fillId="0" borderId="0" xfId="0" applyFont="1" applyAlignment="1">
      <alignment horizontal="right"/>
    </xf>
    <xf numFmtId="0" fontId="22" fillId="0" borderId="1" xfId="0" applyFont="1" applyBorder="1"/>
    <xf numFmtId="0" fontId="21" fillId="0" borderId="1" xfId="0" applyFont="1" applyBorder="1"/>
    <xf numFmtId="0" fontId="45" fillId="0" borderId="0" xfId="0" applyFont="1"/>
    <xf numFmtId="174" fontId="14" fillId="0" borderId="0" xfId="6" applyNumberFormat="1" applyFont="1" applyAlignment="1">
      <alignment vertical="center"/>
    </xf>
    <xf numFmtId="174" fontId="14" fillId="0" borderId="1" xfId="6" applyNumberFormat="1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46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/>
    </xf>
    <xf numFmtId="170" fontId="23" fillId="0" borderId="0" xfId="2" applyNumberFormat="1" applyFont="1" applyAlignment="1">
      <alignment vertical="center"/>
    </xf>
    <xf numFmtId="0" fontId="47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4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/>
    </xf>
    <xf numFmtId="0" fontId="47" fillId="9" borderId="0" xfId="0" applyFont="1" applyFill="1" applyAlignment="1">
      <alignment horizontal="left" vertical="center" wrapText="1"/>
    </xf>
    <xf numFmtId="0" fontId="21" fillId="9" borderId="0" xfId="0" applyFont="1" applyFill="1"/>
    <xf numFmtId="0" fontId="23" fillId="9" borderId="0" xfId="0" applyFont="1" applyFill="1" applyAlignment="1">
      <alignment horizontal="center" vertical="center" wrapText="1"/>
    </xf>
    <xf numFmtId="174" fontId="23" fillId="9" borderId="0" xfId="2" applyNumberFormat="1" applyFont="1" applyFill="1" applyAlignment="1">
      <alignment vertical="center"/>
    </xf>
    <xf numFmtId="170" fontId="23" fillId="9" borderId="0" xfId="2" applyNumberFormat="1" applyFont="1" applyFill="1" applyAlignment="1">
      <alignment vertical="center"/>
    </xf>
    <xf numFmtId="174" fontId="30" fillId="0" borderId="0" xfId="2" applyNumberFormat="1" applyFont="1" applyAlignment="1">
      <alignment vertical="center"/>
    </xf>
    <xf numFmtId="175" fontId="30" fillId="0" borderId="0" xfId="2" applyNumberFormat="1" applyFont="1" applyAlignment="1">
      <alignment vertical="center"/>
    </xf>
    <xf numFmtId="174" fontId="5" fillId="7" borderId="0" xfId="6" applyNumberFormat="1" applyFont="1" applyFill="1" applyAlignment="1">
      <alignment vertical="center"/>
    </xf>
    <xf numFmtId="174" fontId="48" fillId="0" borderId="0" xfId="2" applyNumberFormat="1" applyFont="1" applyAlignment="1">
      <alignment vertical="center"/>
    </xf>
    <xf numFmtId="37" fontId="48" fillId="0" borderId="0" xfId="2" applyNumberFormat="1" applyFont="1" applyAlignment="1">
      <alignment vertical="center"/>
    </xf>
    <xf numFmtId="4" fontId="48" fillId="0" borderId="0" xfId="2" applyNumberFormat="1" applyFont="1" applyAlignment="1">
      <alignment vertical="center"/>
    </xf>
    <xf numFmtId="170" fontId="48" fillId="0" borderId="0" xfId="7" applyNumberFormat="1" applyFont="1" applyBorder="1" applyAlignment="1">
      <alignment horizontal="right"/>
    </xf>
    <xf numFmtId="170" fontId="48" fillId="0" borderId="1" xfId="7" applyNumberFormat="1" applyFont="1" applyBorder="1" applyAlignment="1">
      <alignment horizontal="right"/>
    </xf>
    <xf numFmtId="0" fontId="2" fillId="10" borderId="0" xfId="10" applyFont="1" applyFill="1"/>
    <xf numFmtId="0" fontId="2" fillId="0" borderId="0" xfId="10" applyFont="1"/>
    <xf numFmtId="0" fontId="51" fillId="10" borderId="0" xfId="11" applyFont="1" applyFill="1" applyAlignment="1" applyProtection="1"/>
    <xf numFmtId="0" fontId="52" fillId="10" borderId="0" xfId="10" applyFont="1" applyFill="1"/>
    <xf numFmtId="0" fontId="53" fillId="0" borderId="0" xfId="10" applyFont="1"/>
    <xf numFmtId="0" fontId="55" fillId="0" borderId="0" xfId="12" applyFont="1" applyAlignment="1" applyProtection="1"/>
    <xf numFmtId="0" fontId="56" fillId="10" borderId="0" xfId="11" applyFont="1" applyFill="1" applyAlignment="1" applyProtection="1"/>
    <xf numFmtId="0" fontId="55" fillId="0" borderId="0" xfId="12" applyFont="1" applyFill="1"/>
    <xf numFmtId="0" fontId="56" fillId="0" borderId="0" xfId="11" applyFont="1" applyFill="1" applyAlignment="1" applyProtection="1"/>
    <xf numFmtId="0" fontId="6" fillId="10" borderId="0" xfId="10" applyFont="1" applyFill="1"/>
    <xf numFmtId="0" fontId="1" fillId="2" borderId="0" xfId="10" applyFont="1" applyFill="1"/>
    <xf numFmtId="0" fontId="2" fillId="2" borderId="0" xfId="10" applyFont="1" applyFill="1"/>
    <xf numFmtId="0" fontId="7" fillId="2" borderId="0" xfId="10" applyFont="1" applyFill="1"/>
    <xf numFmtId="0" fontId="50" fillId="2" borderId="0" xfId="11" applyFont="1" applyFill="1" applyAlignment="1" applyProtection="1"/>
    <xf numFmtId="0" fontId="57" fillId="10" borderId="0" xfId="10" applyFont="1" applyFill="1"/>
    <xf numFmtId="0" fontId="58" fillId="0" borderId="0" xfId="10" applyFont="1"/>
    <xf numFmtId="0" fontId="59" fillId="0" borderId="0" xfId="10" applyFont="1"/>
    <xf numFmtId="0" fontId="60" fillId="0" borderId="0" xfId="11" applyFont="1" applyFill="1" applyAlignment="1" applyProtection="1"/>
    <xf numFmtId="0" fontId="2" fillId="11" borderId="1" xfId="0" applyFont="1" applyFill="1" applyBorder="1"/>
    <xf numFmtId="0" fontId="10" fillId="11" borderId="1" xfId="0" applyFont="1" applyFill="1" applyBorder="1"/>
    <xf numFmtId="169" fontId="14" fillId="11" borderId="1" xfId="0" applyNumberFormat="1" applyFont="1" applyFill="1" applyBorder="1"/>
    <xf numFmtId="169" fontId="2" fillId="11" borderId="1" xfId="0" applyNumberFormat="1" applyFont="1" applyFill="1" applyBorder="1"/>
    <xf numFmtId="0" fontId="6" fillId="11" borderId="0" xfId="0" applyFont="1" applyFill="1"/>
    <xf numFmtId="0" fontId="5" fillId="11" borderId="0" xfId="0" applyFont="1" applyFill="1"/>
    <xf numFmtId="164" fontId="5" fillId="11" borderId="0" xfId="0" applyNumberFormat="1" applyFont="1" applyFill="1"/>
    <xf numFmtId="0" fontId="2" fillId="11" borderId="0" xfId="0" applyFont="1" applyFill="1"/>
    <xf numFmtId="171" fontId="2" fillId="11" borderId="0" xfId="0" applyNumberFormat="1" applyFont="1" applyFill="1"/>
    <xf numFmtId="0" fontId="10" fillId="11" borderId="0" xfId="0" applyFont="1" applyFill="1"/>
    <xf numFmtId="169" fontId="14" fillId="11" borderId="0" xfId="0" applyNumberFormat="1" applyFont="1" applyFill="1"/>
    <xf numFmtId="169" fontId="2" fillId="11" borderId="0" xfId="0" applyNumberFormat="1" applyFont="1" applyFill="1"/>
    <xf numFmtId="173" fontId="2" fillId="12" borderId="1" xfId="0" applyNumberFormat="1" applyFont="1" applyFill="1" applyBorder="1"/>
    <xf numFmtId="0" fontId="21" fillId="13" borderId="0" xfId="2" applyFont="1" applyFill="1"/>
    <xf numFmtId="0" fontId="36" fillId="13" borderId="0" xfId="3" applyFont="1" applyFill="1" applyAlignment="1">
      <alignment horizontal="right"/>
    </xf>
    <xf numFmtId="170" fontId="2" fillId="14" borderId="0" xfId="0" applyNumberFormat="1" applyFont="1" applyFill="1"/>
    <xf numFmtId="182" fontId="36" fillId="14" borderId="0" xfId="8" applyFont="1" applyFill="1" applyBorder="1" applyAlignment="1">
      <alignment horizontal="right"/>
    </xf>
    <xf numFmtId="2" fontId="30" fillId="14" borderId="0" xfId="3" applyNumberFormat="1" applyFont="1" applyFill="1"/>
    <xf numFmtId="170" fontId="23" fillId="15" borderId="0" xfId="3" applyNumberFormat="1" applyFont="1" applyFill="1" applyAlignment="1">
      <alignment horizontal="right"/>
    </xf>
    <xf numFmtId="0" fontId="4" fillId="13" borderId="1" xfId="0" applyFont="1" applyFill="1" applyBorder="1"/>
    <xf numFmtId="14" fontId="18" fillId="13" borderId="0" xfId="0" applyNumberFormat="1" applyFont="1" applyFill="1"/>
    <xf numFmtId="0" fontId="18" fillId="13" borderId="0" xfId="0" applyFont="1" applyFill="1"/>
    <xf numFmtId="4" fontId="18" fillId="13" borderId="0" xfId="0" applyNumberFormat="1" applyFont="1" applyFill="1"/>
    <xf numFmtId="0" fontId="2" fillId="13" borderId="0" xfId="0" applyFont="1" applyFill="1"/>
    <xf numFmtId="169" fontId="2" fillId="13" borderId="0" xfId="0" applyNumberFormat="1" applyFont="1" applyFill="1"/>
    <xf numFmtId="169" fontId="2" fillId="13" borderId="1" xfId="0" applyNumberFormat="1" applyFont="1" applyFill="1" applyBorder="1"/>
    <xf numFmtId="169" fontId="4" fillId="13" borderId="0" xfId="0" applyNumberFormat="1" applyFont="1" applyFill="1"/>
    <xf numFmtId="3" fontId="4" fillId="13" borderId="0" xfId="0" applyNumberFormat="1" applyFont="1" applyFill="1"/>
    <xf numFmtId="3" fontId="4" fillId="16" borderId="0" xfId="0" applyNumberFormat="1" applyFont="1" applyFill="1"/>
    <xf numFmtId="14" fontId="18" fillId="17" borderId="0" xfId="0" applyNumberFormat="1" applyFont="1" applyFill="1"/>
    <xf numFmtId="0" fontId="18" fillId="15" borderId="0" xfId="0" applyFont="1" applyFill="1"/>
    <xf numFmtId="0" fontId="2" fillId="18" borderId="0" xfId="0" applyFont="1" applyFill="1"/>
    <xf numFmtId="3" fontId="37" fillId="18" borderId="0" xfId="0" applyNumberFormat="1" applyFont="1" applyFill="1"/>
    <xf numFmtId="170" fontId="2" fillId="18" borderId="0" xfId="0" applyNumberFormat="1" applyFont="1" applyFill="1"/>
    <xf numFmtId="176" fontId="4" fillId="18" borderId="0" xfId="0" applyNumberFormat="1" applyFont="1" applyFill="1"/>
    <xf numFmtId="170" fontId="4" fillId="18" borderId="0" xfId="0" applyNumberFormat="1" applyFont="1" applyFill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textRotation="180"/>
    </xf>
    <xf numFmtId="4" fontId="0" fillId="0" borderId="0" xfId="0" applyNumberFormat="1"/>
  </cellXfs>
  <cellStyles count="13">
    <cellStyle name="Comma 4" xfId="4" xr:uid="{98F5E414-82F8-4366-B0F1-0E0D43AFDF44}"/>
    <cellStyle name="Comma 5" xfId="8" xr:uid="{9814FC9D-AACA-4FF5-980C-F6AE8CC6C9AE}"/>
    <cellStyle name="Hyperlink 2" xfId="11" xr:uid="{E7D75B72-6EEB-4690-B0D1-E52A553A17FA}"/>
    <cellStyle name="Hyperlink 3" xfId="12" xr:uid="{034AA17B-3DB6-40AC-A578-939B76D17052}"/>
    <cellStyle name="Normal" xfId="0" builtinId="0"/>
    <cellStyle name="Normal 2" xfId="1" xr:uid="{FDAD9F1A-7F27-4F78-814A-FD9B548A2929}"/>
    <cellStyle name="Normal 2 2" xfId="2" xr:uid="{04787428-6967-4910-9404-4DDBCFD21D81}"/>
    <cellStyle name="Normal 2 2 2" xfId="6" xr:uid="{14249CDD-82E2-46AA-BEB1-DD5079B5DC33}"/>
    <cellStyle name="Normal 2 3" xfId="9" xr:uid="{A6BCBA55-5F09-4434-B7E4-09ED208169E7}"/>
    <cellStyle name="Normal 5 2" xfId="3" xr:uid="{62820ED8-47FE-433C-B18B-F2A8CD35234C}"/>
    <cellStyle name="Normal 6" xfId="5" xr:uid="{9B87E11F-450A-4A1B-BE61-A3A7A69EF588}"/>
    <cellStyle name="Normal 8" xfId="10" xr:uid="{2F54169D-94B8-43A9-8C12-61FBE72D4B8E}"/>
    <cellStyle name="Percent 5" xfId="7" xr:uid="{2B307A68-5AB7-4E62-9829-E3BF7D5B243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Valuation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37270341207349E-2"/>
          <c:y val="0.17171296296296298"/>
          <c:w val="0.87129396325459318"/>
          <c:h val="0.72088764946048411"/>
        </c:manualLayout>
      </c:layout>
      <c:stockChart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'Summary- Football Field'!$H$6:$K$6</c:f>
              <c:strCache>
                <c:ptCount val="4"/>
                <c:pt idx="0">
                  <c:v>Comps</c:v>
                </c:pt>
                <c:pt idx="1">
                  <c:v>DCF</c:v>
                </c:pt>
                <c:pt idx="2">
                  <c:v>52-week hi/lo</c:v>
                </c:pt>
                <c:pt idx="3">
                  <c:v>Consensus</c:v>
                </c:pt>
              </c:strCache>
            </c:strRef>
          </c:cat>
          <c:val>
            <c:numRef>
              <c:f>'Summary- Football Field'!$H$7:$K$7</c:f>
              <c:numCache>
                <c:formatCode>#,##0</c:formatCode>
                <c:ptCount val="4"/>
                <c:pt idx="0">
                  <c:v>6351.2657592601108</c:v>
                </c:pt>
                <c:pt idx="1">
                  <c:v>5984.7717589496506</c:v>
                </c:pt>
                <c:pt idx="2">
                  <c:v>5192.6000000000004</c:v>
                </c:pt>
                <c:pt idx="3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C-4B1A-92E1-F9402F70FC2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'Summary- Football Field'!$H$6:$K$6</c:f>
              <c:strCache>
                <c:ptCount val="4"/>
                <c:pt idx="0">
                  <c:v>Comps</c:v>
                </c:pt>
                <c:pt idx="1">
                  <c:v>DCF</c:v>
                </c:pt>
                <c:pt idx="2">
                  <c:v>52-week hi/lo</c:v>
                </c:pt>
                <c:pt idx="3">
                  <c:v>Consensus</c:v>
                </c:pt>
              </c:strCache>
            </c:strRef>
          </c:cat>
          <c:val>
            <c:numRef>
              <c:f>'Summary- Football Field'!$H$8:$K$8</c:f>
              <c:numCache>
                <c:formatCode>#,##0</c:formatCode>
                <c:ptCount val="4"/>
                <c:pt idx="0">
                  <c:v>6351.2657592601108</c:v>
                </c:pt>
                <c:pt idx="1">
                  <c:v>5984.7717589496506</c:v>
                </c:pt>
                <c:pt idx="2">
                  <c:v>5192.6000000000004</c:v>
                </c:pt>
                <c:pt idx="3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CC-4B1A-92E1-F9402F70FC2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'Summary- Football Field'!$H$6:$K$6</c:f>
              <c:strCache>
                <c:ptCount val="4"/>
                <c:pt idx="0">
                  <c:v>Comps</c:v>
                </c:pt>
                <c:pt idx="1">
                  <c:v>DCF</c:v>
                </c:pt>
                <c:pt idx="2">
                  <c:v>52-week hi/lo</c:v>
                </c:pt>
                <c:pt idx="3">
                  <c:v>Consensus</c:v>
                </c:pt>
              </c:strCache>
            </c:strRef>
          </c:cat>
          <c:val>
            <c:numRef>
              <c:f>'Summary- Football Field'!$H$9:$K$9</c:f>
              <c:numCache>
                <c:formatCode>#,##0</c:formatCode>
                <c:ptCount val="4"/>
                <c:pt idx="0">
                  <c:v>5373.0900104838474</c:v>
                </c:pt>
                <c:pt idx="1">
                  <c:v>4350.0840895115316</c:v>
                </c:pt>
                <c:pt idx="2">
                  <c:v>3175.5</c:v>
                </c:pt>
                <c:pt idx="3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CC-4B1A-92E1-F9402F70FC2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'Summary- Football Field'!$H$6:$K$6</c:f>
              <c:strCache>
                <c:ptCount val="4"/>
                <c:pt idx="0">
                  <c:v>Comps</c:v>
                </c:pt>
                <c:pt idx="1">
                  <c:v>DCF</c:v>
                </c:pt>
                <c:pt idx="2">
                  <c:v>52-week hi/lo</c:v>
                </c:pt>
                <c:pt idx="3">
                  <c:v>Consensus</c:v>
                </c:pt>
              </c:strCache>
            </c:strRef>
          </c:cat>
          <c:val>
            <c:numRef>
              <c:f>'Summary- Football Field'!$H$10:$K$10</c:f>
              <c:numCache>
                <c:formatCode>#,##0</c:formatCode>
                <c:ptCount val="4"/>
                <c:pt idx="0">
                  <c:v>5373.0900104838474</c:v>
                </c:pt>
                <c:pt idx="1">
                  <c:v>4350.0840895115316</c:v>
                </c:pt>
                <c:pt idx="2">
                  <c:v>3175.5</c:v>
                </c:pt>
                <c:pt idx="3">
                  <c:v>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CC-4B1A-92E1-F9402F70FC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7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768046143"/>
        <c:axId val="767817775"/>
      </c:stockChart>
      <c:catAx>
        <c:axId val="76804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17775"/>
        <c:crosses val="autoZero"/>
        <c:auto val="1"/>
        <c:lblAlgn val="ctr"/>
        <c:lblOffset val="100"/>
        <c:noMultiLvlLbl val="0"/>
      </c:catAx>
      <c:valAx>
        <c:axId val="767817775"/>
        <c:scaling>
          <c:orientation val="minMax"/>
          <c:min val="2000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4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150216</xdr:colOff>
      <xdr:row>12</xdr:row>
      <xdr:rowOff>145458</xdr:rowOff>
    </xdr:from>
    <xdr:to>
      <xdr:col>7</xdr:col>
      <xdr:colOff>648467</xdr:colOff>
      <xdr:row>27</xdr:row>
      <xdr:rowOff>23796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0AB57B-7CE9-77F9-5FF7-71D8E4DF1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636569</xdr:colOff>
      <xdr:row>19</xdr:row>
      <xdr:rowOff>53543</xdr:rowOff>
    </xdr:from>
    <xdr:to>
      <xdr:col>7</xdr:col>
      <xdr:colOff>416448</xdr:colOff>
      <xdr:row>19</xdr:row>
      <xdr:rowOff>59492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26B2C6F-1476-58A9-4432-DF50BA39D5FB}"/>
            </a:ext>
          </a:extLst>
        </xdr:cNvPr>
        <xdr:cNvCxnSpPr/>
      </xdr:nvCxnSpPr>
      <xdr:spPr>
        <a:xfrm flipV="1">
          <a:off x="904286" y="4206121"/>
          <a:ext cx="4497635" cy="5949"/>
        </a:xfrm>
        <a:prstGeom prst="line">
          <a:avLst/>
        </a:prstGeom>
        <a:ln w="9525">
          <a:solidFill>
            <a:schemeClr val="accent2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3243-D16C-4816-AB1A-5985C94D0B6C}">
  <dimension ref="A1:H23"/>
  <sheetViews>
    <sheetView showGridLines="0" zoomScale="115" zoomScaleNormal="115" workbookViewId="0"/>
  </sheetViews>
  <sheetFormatPr defaultColWidth="9.109375" defaultRowHeight="14.4" x14ac:dyDescent="0.3"/>
  <cols>
    <col min="1" max="1" width="2.6640625" style="243" customWidth="1"/>
    <col min="2" max="2" width="6.109375" style="243" customWidth="1"/>
    <col min="3" max="3" width="4.33203125" style="243" customWidth="1"/>
    <col min="4" max="5" width="9.109375" style="243"/>
    <col min="6" max="6" width="26.109375" style="243" customWidth="1"/>
    <col min="7" max="7" width="11.21875" style="243" customWidth="1"/>
    <col min="8" max="8" width="34.21875" style="243" customWidth="1"/>
    <col min="9" max="16384" width="9.109375" style="243"/>
  </cols>
  <sheetData>
    <row r="1" spans="1:8" ht="32.4" x14ac:dyDescent="0.6">
      <c r="A1" s="253" t="s">
        <v>1</v>
      </c>
      <c r="B1" s="254"/>
      <c r="C1" s="254"/>
      <c r="D1" s="254"/>
      <c r="E1" s="254"/>
      <c r="F1" s="254"/>
      <c r="G1" s="254"/>
      <c r="H1" s="254"/>
    </row>
    <row r="2" spans="1:8" x14ac:dyDescent="0.3">
      <c r="A2" s="255" t="s">
        <v>415</v>
      </c>
      <c r="B2" s="256"/>
      <c r="C2" s="254"/>
      <c r="D2" s="254"/>
      <c r="E2" s="254"/>
      <c r="F2" s="256"/>
      <c r="G2" s="256"/>
      <c r="H2" s="254"/>
    </row>
    <row r="3" spans="1:8" x14ac:dyDescent="0.3">
      <c r="A3" s="244"/>
      <c r="B3" s="244"/>
      <c r="C3" s="244"/>
      <c r="D3" s="244"/>
      <c r="E3" s="244"/>
      <c r="F3" s="244"/>
      <c r="G3" s="244"/>
      <c r="H3" s="244"/>
    </row>
    <row r="4" spans="1:8" ht="15.6" x14ac:dyDescent="0.3">
      <c r="B4" s="257" t="s">
        <v>416</v>
      </c>
      <c r="C4" s="245"/>
      <c r="D4" s="246"/>
      <c r="E4" s="246"/>
    </row>
    <row r="5" spans="1:8" x14ac:dyDescent="0.3">
      <c r="A5" s="244"/>
      <c r="B5" s="258"/>
      <c r="C5" s="248" t="s">
        <v>417</v>
      </c>
      <c r="D5" s="244"/>
      <c r="E5" s="244"/>
      <c r="F5" s="244"/>
      <c r="G5" s="244"/>
      <c r="H5" s="244"/>
    </row>
    <row r="6" spans="1:8" x14ac:dyDescent="0.3">
      <c r="A6" s="244"/>
      <c r="B6" s="258"/>
      <c r="C6" s="248" t="s">
        <v>255</v>
      </c>
      <c r="D6" s="244"/>
      <c r="E6" s="244"/>
      <c r="F6" s="244"/>
      <c r="G6" s="244"/>
      <c r="H6" s="244"/>
    </row>
    <row r="7" spans="1:8" x14ac:dyDescent="0.3">
      <c r="A7" s="244"/>
      <c r="B7" s="258"/>
      <c r="C7" s="248" t="s">
        <v>363</v>
      </c>
      <c r="D7" s="244"/>
      <c r="E7" s="244"/>
      <c r="F7" s="244"/>
      <c r="G7" s="244"/>
      <c r="H7" s="244"/>
    </row>
    <row r="8" spans="1:8" x14ac:dyDescent="0.3">
      <c r="A8" s="244"/>
      <c r="B8" s="258"/>
      <c r="C8" s="248"/>
      <c r="D8" s="244"/>
      <c r="E8" s="244"/>
      <c r="F8" s="244"/>
      <c r="G8" s="244"/>
      <c r="H8" s="244"/>
    </row>
    <row r="9" spans="1:8" ht="15.6" x14ac:dyDescent="0.3">
      <c r="B9" s="257" t="s">
        <v>418</v>
      </c>
      <c r="C9" s="249"/>
    </row>
    <row r="10" spans="1:8" x14ac:dyDescent="0.3">
      <c r="A10" s="244"/>
      <c r="B10" s="259"/>
      <c r="C10" s="248" t="s">
        <v>158</v>
      </c>
      <c r="D10" s="244"/>
      <c r="E10" s="244"/>
      <c r="F10" s="244"/>
      <c r="G10" s="244"/>
      <c r="H10" s="180"/>
    </row>
    <row r="11" spans="1:8" x14ac:dyDescent="0.3">
      <c r="A11" s="244"/>
      <c r="B11" s="259"/>
      <c r="C11" s="248" t="s">
        <v>172</v>
      </c>
      <c r="D11" s="244"/>
      <c r="E11" s="244"/>
      <c r="F11" s="244"/>
      <c r="G11" s="244"/>
      <c r="H11" s="180"/>
    </row>
    <row r="12" spans="1:8" x14ac:dyDescent="0.3">
      <c r="A12" s="244"/>
      <c r="B12" s="259"/>
      <c r="C12" s="250" t="s">
        <v>199</v>
      </c>
      <c r="D12" s="244"/>
      <c r="E12" s="244"/>
      <c r="F12" s="244"/>
      <c r="G12" s="244"/>
      <c r="H12" s="180"/>
    </row>
    <row r="13" spans="1:8" x14ac:dyDescent="0.3">
      <c r="A13" s="244"/>
      <c r="B13" s="258"/>
      <c r="C13" s="250" t="s">
        <v>217</v>
      </c>
      <c r="D13" s="244"/>
      <c r="E13" s="244"/>
      <c r="F13" s="244"/>
      <c r="G13" s="244"/>
      <c r="H13" s="180"/>
    </row>
    <row r="14" spans="1:8" x14ac:dyDescent="0.3">
      <c r="A14" s="244"/>
      <c r="B14" s="258"/>
      <c r="C14" s="250" t="s">
        <v>220</v>
      </c>
      <c r="D14" s="244"/>
      <c r="E14" s="244"/>
      <c r="F14" s="244"/>
      <c r="G14" s="244"/>
      <c r="H14" s="180"/>
    </row>
    <row r="15" spans="1:8" x14ac:dyDescent="0.3">
      <c r="A15" s="244"/>
      <c r="B15" s="258"/>
      <c r="C15" s="250" t="s">
        <v>419</v>
      </c>
      <c r="D15" s="244"/>
      <c r="E15" s="244"/>
      <c r="F15" s="244"/>
      <c r="G15" s="244"/>
      <c r="H15" s="180"/>
    </row>
    <row r="16" spans="1:8" x14ac:dyDescent="0.3">
      <c r="A16" s="244"/>
      <c r="B16" s="258"/>
      <c r="C16" s="250" t="s">
        <v>323</v>
      </c>
      <c r="D16" s="244"/>
      <c r="E16" s="244"/>
      <c r="F16" s="244"/>
      <c r="G16" s="244"/>
      <c r="H16" s="180"/>
    </row>
    <row r="17" spans="1:8" x14ac:dyDescent="0.3">
      <c r="A17" s="244"/>
      <c r="B17" s="258"/>
      <c r="C17" s="250" t="s">
        <v>306</v>
      </c>
      <c r="D17" s="244"/>
      <c r="E17" s="244"/>
      <c r="F17" s="244"/>
      <c r="G17" s="244"/>
      <c r="H17" s="180"/>
    </row>
    <row r="18" spans="1:8" x14ac:dyDescent="0.3">
      <c r="A18" s="244"/>
      <c r="B18" s="260"/>
      <c r="C18" s="250" t="s">
        <v>398</v>
      </c>
      <c r="D18" s="244"/>
      <c r="E18" s="244"/>
      <c r="F18" s="244"/>
      <c r="G18" s="244"/>
      <c r="H18" s="180"/>
    </row>
    <row r="19" spans="1:8" x14ac:dyDescent="0.3">
      <c r="A19" s="244"/>
      <c r="B19" s="260"/>
      <c r="C19" s="251"/>
      <c r="D19" s="244"/>
      <c r="E19" s="244"/>
      <c r="F19" s="244"/>
      <c r="G19" s="244"/>
      <c r="H19" s="244"/>
    </row>
    <row r="20" spans="1:8" ht="15.6" x14ac:dyDescent="0.3">
      <c r="B20" s="257" t="s">
        <v>420</v>
      </c>
      <c r="C20" s="252"/>
    </row>
    <row r="21" spans="1:8" x14ac:dyDescent="0.3">
      <c r="A21" s="244"/>
      <c r="B21" s="247"/>
      <c r="C21" s="250" t="s">
        <v>334</v>
      </c>
      <c r="D21" s="244"/>
      <c r="E21" s="244"/>
      <c r="F21" s="244"/>
      <c r="G21" s="244"/>
      <c r="H21" s="244"/>
    </row>
    <row r="22" spans="1:8" x14ac:dyDescent="0.3">
      <c r="A22" s="244"/>
      <c r="B22" s="247"/>
      <c r="C22" s="250" t="s">
        <v>421</v>
      </c>
      <c r="D22" s="244"/>
      <c r="E22" s="244"/>
      <c r="F22" s="244"/>
      <c r="G22" s="244"/>
      <c r="H22" s="244"/>
    </row>
    <row r="23" spans="1:8" x14ac:dyDescent="0.3">
      <c r="A23" s="244"/>
      <c r="B23" s="244"/>
      <c r="C23" s="250" t="s">
        <v>414</v>
      </c>
      <c r="D23" s="244"/>
      <c r="E23" s="244"/>
      <c r="F23" s="244"/>
      <c r="G23" s="244"/>
      <c r="H23" s="244"/>
    </row>
  </sheetData>
  <hyperlinks>
    <hyperlink ref="C5" location="Historical!A1" display="Historical Financial Statement" xr:uid="{0DB09012-7F84-4FA0-A4BE-2121BF8083A6}"/>
    <hyperlink ref="C23" location="Summary!A1" display="Valuation Summary" xr:uid="{AC43318E-B6CB-4C48-86BB-0DDAF760CEB4}"/>
    <hyperlink ref="C6" location="Market_Data!A1" display="Market Data" xr:uid="{984847E0-7C8E-4732-B333-1C133E821087}"/>
    <hyperlink ref="C7" location="Model!A5" display="Assumptions" xr:uid="{E7AFAF52-21E1-490C-831C-A5A9EACF2B9B}"/>
    <hyperlink ref="C10" location="Model!A23" display="Income Statement" xr:uid="{D6CE053C-E39C-45CE-80A8-204094131A62}"/>
    <hyperlink ref="C11" location="Model!A41" display="Balance Sheet" xr:uid="{DD95A5FD-34F3-4641-8AD3-4952F9DFE193}"/>
    <hyperlink ref="C12" location="Model!A75" display="Cash Flow Statement" xr:uid="{BF124F0A-6B84-409D-8EDE-7D3CDBA28D24}"/>
    <hyperlink ref="C13" location="Model!A108" display="Working Capital" xr:uid="{BBCB5380-ED62-4EC2-87FA-D97FF32A61E7}"/>
    <hyperlink ref="C14" location="Model!A115" display="Depreciation Schedule" xr:uid="{0A372C4F-7888-48DE-9CB2-7A74610960EC}"/>
    <hyperlink ref="C15" location="Model!A121" display="Debt Schedule" xr:uid="{9AC33BD7-F496-4C90-B065-D1C94B93DF42}"/>
    <hyperlink ref="C16" location="WACC!A1" display="WACC" xr:uid="{331F136F-549B-42F2-A7D9-957CC56EA386}"/>
    <hyperlink ref="C17" location="Beta!A1" display="Beta" xr:uid="{ED755E5A-7010-48BD-B0CC-C4F531E798B7}"/>
    <hyperlink ref="C21" location="Model!A128" display="DCF Model" xr:uid="{20C7AA37-5D4B-4196-A89F-9B727AB93EEF}"/>
    <hyperlink ref="C18" location="Model!A171" display="Sensitivity Analysis" xr:uid="{DB82A914-63B7-4473-A941-9904E2A69A6F}"/>
    <hyperlink ref="C22" location="Comps!A128" display="Comparables Analysis" xr:uid="{6BAF2F90-170F-4318-91CD-926771AC3FA5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E57F-F2DE-4F30-B556-489C593DC454}">
  <dimension ref="A1:S168"/>
  <sheetViews>
    <sheetView showGridLines="0" topLeftCell="A97" zoomScaleNormal="100" workbookViewId="0">
      <selection activeCell="H123" sqref="H123"/>
    </sheetView>
  </sheetViews>
  <sheetFormatPr defaultColWidth="11.6640625" defaultRowHeight="14.4" x14ac:dyDescent="0.3"/>
  <cols>
    <col min="1" max="3" width="1.21875" style="3" customWidth="1"/>
    <col min="4" max="4" width="40.6640625" style="3" customWidth="1"/>
    <col min="5" max="6" width="12.6640625" style="3" customWidth="1"/>
    <col min="7" max="7" width="2.6640625" style="3" customWidth="1"/>
    <col min="8" max="16384" width="11.6640625" style="3"/>
  </cols>
  <sheetData>
    <row r="1" spans="1:17" ht="32.4" x14ac:dyDescent="0.6">
      <c r="A1" s="1" t="str">
        <f>Index!A1</f>
        <v>Alkem Laboratories Limited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7" ht="15.6" x14ac:dyDescent="0.3">
      <c r="A2" s="4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7" x14ac:dyDescent="0.3">
      <c r="A4" s="7" t="s">
        <v>3</v>
      </c>
      <c r="B4" s="8"/>
      <c r="C4" s="8"/>
      <c r="D4" s="8"/>
      <c r="E4" s="8"/>
      <c r="F4" s="8"/>
      <c r="G4" s="8"/>
      <c r="H4" s="7">
        <v>2019</v>
      </c>
      <c r="I4" s="7">
        <v>2020</v>
      </c>
      <c r="J4" s="7">
        <v>2021</v>
      </c>
      <c r="K4" s="7">
        <v>2022</v>
      </c>
      <c r="L4" s="7">
        <v>2023</v>
      </c>
      <c r="M4" s="9"/>
      <c r="N4" s="9"/>
      <c r="O4" s="9"/>
      <c r="P4" s="9"/>
      <c r="Q4" s="9"/>
    </row>
    <row r="5" spans="1:17" x14ac:dyDescent="0.3">
      <c r="A5" s="9"/>
      <c r="B5" s="9"/>
      <c r="C5" s="9"/>
      <c r="D5" s="10" t="s">
        <v>4</v>
      </c>
      <c r="E5" s="9"/>
      <c r="F5" s="9"/>
      <c r="G5" s="9"/>
      <c r="H5" s="10"/>
      <c r="I5" s="10"/>
      <c r="J5" s="10"/>
      <c r="K5" s="10"/>
      <c r="L5" s="10"/>
      <c r="M5" s="9"/>
      <c r="N5" s="9"/>
      <c r="O5" s="9"/>
      <c r="P5" s="9"/>
      <c r="Q5" s="9"/>
    </row>
    <row r="6" spans="1:17" x14ac:dyDescent="0.3">
      <c r="A6" s="9"/>
      <c r="B6" s="9"/>
      <c r="C6" s="9"/>
      <c r="D6" s="9" t="s">
        <v>5</v>
      </c>
      <c r="E6" s="9"/>
      <c r="F6" s="9"/>
      <c r="G6" s="9"/>
      <c r="H6" s="11">
        <v>73571.899999999994</v>
      </c>
      <c r="I6" s="11">
        <v>83443.600000000006</v>
      </c>
      <c r="J6" s="11">
        <v>88650.1</v>
      </c>
      <c r="K6" s="11">
        <v>106341.9</v>
      </c>
      <c r="L6" s="11">
        <v>115992.6</v>
      </c>
      <c r="M6" s="9"/>
      <c r="N6" s="9"/>
      <c r="O6" s="9"/>
      <c r="P6" s="9"/>
      <c r="Q6" s="9"/>
    </row>
    <row r="7" spans="1:17" x14ac:dyDescent="0.3">
      <c r="A7" s="9"/>
      <c r="B7" s="9"/>
      <c r="C7" s="9"/>
      <c r="D7" s="9" t="s">
        <v>6</v>
      </c>
      <c r="E7" s="9"/>
      <c r="F7" s="9"/>
      <c r="G7" s="9"/>
      <c r="H7" s="11">
        <v>877</v>
      </c>
      <c r="I7" s="11">
        <v>1042.2</v>
      </c>
      <c r="J7" s="11">
        <v>2332.1</v>
      </c>
      <c r="K7" s="11">
        <v>1626.5</v>
      </c>
      <c r="L7" s="11">
        <v>2160.8000000000002</v>
      </c>
      <c r="M7" s="9"/>
      <c r="N7" s="9"/>
      <c r="O7" s="9"/>
      <c r="P7" s="9"/>
      <c r="Q7" s="9"/>
    </row>
    <row r="8" spans="1:17" x14ac:dyDescent="0.3">
      <c r="A8" s="9"/>
      <c r="B8" s="9"/>
      <c r="C8" s="9"/>
      <c r="D8" s="9" t="s">
        <v>7</v>
      </c>
      <c r="E8" s="9"/>
      <c r="F8" s="9"/>
      <c r="G8" s="9"/>
      <c r="H8" s="11">
        <v>74448.899999999994</v>
      </c>
      <c r="I8" s="11">
        <v>84485.8</v>
      </c>
      <c r="J8" s="11">
        <v>90982.2</v>
      </c>
      <c r="K8" s="11">
        <v>107968.4</v>
      </c>
      <c r="L8" s="11">
        <v>118153.4</v>
      </c>
      <c r="M8" s="9"/>
      <c r="N8" s="9"/>
      <c r="O8" s="9"/>
      <c r="P8" s="9"/>
      <c r="Q8" s="9"/>
    </row>
    <row r="9" spans="1:17" x14ac:dyDescent="0.3">
      <c r="A9" s="9"/>
      <c r="B9" s="9"/>
      <c r="C9" s="9"/>
      <c r="D9" s="10" t="s">
        <v>8</v>
      </c>
      <c r="E9" s="9"/>
      <c r="F9" s="9"/>
      <c r="G9" s="9"/>
      <c r="H9" s="11"/>
      <c r="I9" s="11"/>
      <c r="J9" s="11"/>
      <c r="K9" s="11"/>
      <c r="L9" s="11"/>
      <c r="M9" s="9"/>
      <c r="N9" s="9"/>
      <c r="O9" s="9"/>
      <c r="P9" s="9"/>
      <c r="Q9" s="9"/>
    </row>
    <row r="10" spans="1:17" x14ac:dyDescent="0.3">
      <c r="A10" s="9"/>
      <c r="B10" s="9"/>
      <c r="C10" s="9"/>
      <c r="D10" s="9" t="s">
        <v>9</v>
      </c>
      <c r="E10" s="9"/>
      <c r="F10" s="9"/>
      <c r="G10" s="9"/>
      <c r="H10" s="11">
        <v>18111.400000000001</v>
      </c>
      <c r="I10" s="11">
        <v>21318.3</v>
      </c>
      <c r="J10" s="11">
        <v>23945.4</v>
      </c>
      <c r="K10" s="11">
        <v>32260.6</v>
      </c>
      <c r="L10" s="11">
        <v>30569.200000000001</v>
      </c>
      <c r="M10" s="9"/>
      <c r="N10" s="9" t="s">
        <v>422</v>
      </c>
      <c r="O10" s="298" t="s">
        <v>423</v>
      </c>
      <c r="P10" s="9"/>
      <c r="Q10" s="9"/>
    </row>
    <row r="11" spans="1:17" x14ac:dyDescent="0.3">
      <c r="A11" s="9"/>
      <c r="B11" s="9"/>
      <c r="C11" s="9"/>
      <c r="D11" s="9" t="s">
        <v>10</v>
      </c>
      <c r="E11" s="9"/>
      <c r="F11" s="9"/>
      <c r="G11" s="9"/>
      <c r="H11" s="11">
        <v>11301.9</v>
      </c>
      <c r="I11" s="11">
        <v>14430.6</v>
      </c>
      <c r="J11" s="11">
        <v>14377.6</v>
      </c>
      <c r="K11" s="11">
        <v>14897.1</v>
      </c>
      <c r="L11" s="11">
        <v>13875.5</v>
      </c>
      <c r="M11" s="9"/>
      <c r="N11" s="9" t="s">
        <v>422</v>
      </c>
      <c r="O11" s="298"/>
      <c r="P11" s="9"/>
      <c r="Q11" s="9"/>
    </row>
    <row r="12" spans="1:17" x14ac:dyDescent="0.3">
      <c r="A12" s="9"/>
      <c r="B12" s="9"/>
      <c r="C12" s="9"/>
      <c r="D12" s="9" t="s">
        <v>11</v>
      </c>
      <c r="E12" s="9"/>
      <c r="F12" s="9"/>
      <c r="G12" s="9"/>
      <c r="H12" s="11">
        <v>36.4</v>
      </c>
      <c r="I12" s="11">
        <v>-2299.5</v>
      </c>
      <c r="J12" s="11">
        <v>-3338.4</v>
      </c>
      <c r="K12" s="11">
        <v>-5354.8</v>
      </c>
      <c r="L12" s="11">
        <v>4623.7</v>
      </c>
      <c r="M12" s="9"/>
      <c r="N12" s="9" t="s">
        <v>422</v>
      </c>
      <c r="O12" s="298"/>
      <c r="P12" s="9"/>
      <c r="Q12" s="9"/>
    </row>
    <row r="13" spans="1:17" x14ac:dyDescent="0.3">
      <c r="A13" s="9"/>
      <c r="B13" s="9"/>
      <c r="C13" s="9"/>
      <c r="D13" s="9" t="s">
        <v>12</v>
      </c>
      <c r="E13" s="9"/>
      <c r="F13" s="9"/>
      <c r="G13" s="9"/>
      <c r="H13" s="11"/>
      <c r="I13" s="11"/>
      <c r="J13" s="11"/>
      <c r="K13" s="11"/>
      <c r="L13" s="11"/>
      <c r="M13" s="9"/>
      <c r="N13" s="9"/>
      <c r="O13" s="9"/>
      <c r="P13" s="9"/>
      <c r="Q13" s="9"/>
    </row>
    <row r="14" spans="1:17" x14ac:dyDescent="0.3">
      <c r="A14" s="9"/>
      <c r="B14" s="9"/>
      <c r="C14" s="9"/>
      <c r="D14" s="9" t="s">
        <v>13</v>
      </c>
      <c r="E14" s="9"/>
      <c r="F14" s="9"/>
      <c r="G14" s="9"/>
      <c r="H14" s="11">
        <v>13624.6</v>
      </c>
      <c r="I14" s="11">
        <v>15054.9</v>
      </c>
      <c r="J14" s="11">
        <v>16210.3</v>
      </c>
      <c r="K14" s="11">
        <v>19627.099999999999</v>
      </c>
      <c r="L14" s="11">
        <v>21313.5</v>
      </c>
      <c r="M14" s="9"/>
      <c r="N14" s="9"/>
      <c r="O14" s="9"/>
      <c r="P14" s="9"/>
      <c r="Q14" s="9"/>
    </row>
    <row r="15" spans="1:17" x14ac:dyDescent="0.3">
      <c r="A15" s="9"/>
      <c r="B15" s="9"/>
      <c r="C15" s="9"/>
      <c r="D15" s="9" t="s">
        <v>14</v>
      </c>
      <c r="E15" s="9"/>
      <c r="F15" s="9"/>
      <c r="G15" s="9"/>
      <c r="H15" s="11">
        <v>546.29999999999995</v>
      </c>
      <c r="I15" s="11">
        <v>650.6</v>
      </c>
      <c r="J15" s="11">
        <v>589.20000000000005</v>
      </c>
      <c r="K15" s="11">
        <v>523.70000000000005</v>
      </c>
      <c r="L15" s="11">
        <v>1073.5999999999999</v>
      </c>
      <c r="M15" s="9"/>
      <c r="N15" s="9"/>
      <c r="O15" s="297" t="s">
        <v>424</v>
      </c>
      <c r="P15" s="9"/>
      <c r="Q15" s="9"/>
    </row>
    <row r="16" spans="1:17" x14ac:dyDescent="0.3">
      <c r="A16" s="9"/>
      <c r="B16" s="9"/>
      <c r="C16" s="9"/>
      <c r="D16" s="9" t="s">
        <v>15</v>
      </c>
      <c r="E16" s="9"/>
      <c r="F16" s="9"/>
      <c r="G16" s="9"/>
      <c r="H16" s="11">
        <v>1931.8</v>
      </c>
      <c r="I16" s="11">
        <v>2527.6</v>
      </c>
      <c r="J16" s="11">
        <v>2745.8</v>
      </c>
      <c r="K16" s="11">
        <v>3039.6</v>
      </c>
      <c r="L16" s="11">
        <v>3104.2</v>
      </c>
      <c r="M16" s="9"/>
      <c r="N16" s="9"/>
      <c r="O16" s="297"/>
      <c r="P16" s="9"/>
      <c r="Q16" s="9"/>
    </row>
    <row r="17" spans="1:17" x14ac:dyDescent="0.3">
      <c r="A17" s="9"/>
      <c r="B17" s="9"/>
      <c r="C17" s="9"/>
      <c r="D17" s="9" t="s">
        <v>16</v>
      </c>
      <c r="E17" s="9"/>
      <c r="F17" s="9"/>
      <c r="G17" s="9"/>
      <c r="H17" s="11">
        <v>19349.900000000001</v>
      </c>
      <c r="I17" s="11">
        <v>20205.400000000001</v>
      </c>
      <c r="J17" s="11">
        <v>18031.3</v>
      </c>
      <c r="K17" s="11">
        <v>24382.7</v>
      </c>
      <c r="L17" s="11">
        <v>29516.2</v>
      </c>
      <c r="M17" s="9"/>
      <c r="N17" s="9"/>
      <c r="O17" s="9"/>
      <c r="P17" s="9"/>
      <c r="Q17" s="9"/>
    </row>
    <row r="18" spans="1:17" x14ac:dyDescent="0.3">
      <c r="A18" s="9"/>
      <c r="B18" s="9"/>
      <c r="C18" s="9"/>
      <c r="D18" s="10" t="s">
        <v>17</v>
      </c>
      <c r="E18" s="9"/>
      <c r="F18" s="9"/>
      <c r="G18" s="9"/>
      <c r="H18" s="12">
        <v>64902.3</v>
      </c>
      <c r="I18" s="12">
        <v>71887.899999999994</v>
      </c>
      <c r="J18" s="12">
        <v>72561.2</v>
      </c>
      <c r="K18" s="12">
        <v>89376</v>
      </c>
      <c r="L18" s="12">
        <v>104075.9</v>
      </c>
      <c r="M18" s="9"/>
      <c r="N18" s="9"/>
      <c r="O18" s="9"/>
      <c r="P18" s="9"/>
      <c r="Q18" s="9"/>
    </row>
    <row r="19" spans="1:17" x14ac:dyDescent="0.3">
      <c r="A19" s="9"/>
      <c r="B19" s="9"/>
      <c r="C19" s="9"/>
      <c r="D19" s="9" t="s">
        <v>20</v>
      </c>
      <c r="E19" s="9"/>
      <c r="F19" s="9"/>
      <c r="G19" s="9"/>
      <c r="H19" s="11">
        <v>9546.6</v>
      </c>
      <c r="I19" s="11">
        <v>12597.9</v>
      </c>
      <c r="J19" s="11">
        <v>18421</v>
      </c>
      <c r="K19" s="11">
        <v>18592.400000000001</v>
      </c>
      <c r="L19" s="11">
        <v>14077.5</v>
      </c>
      <c r="M19" s="9"/>
      <c r="N19" s="9"/>
      <c r="O19" s="9"/>
      <c r="P19" s="9"/>
      <c r="Q19" s="9"/>
    </row>
    <row r="20" spans="1:17" x14ac:dyDescent="0.3">
      <c r="A20" s="9"/>
      <c r="B20" s="9"/>
      <c r="C20" s="9"/>
      <c r="D20" s="9" t="s">
        <v>21</v>
      </c>
      <c r="E20" s="9"/>
      <c r="F20" s="9"/>
      <c r="G20" s="9"/>
      <c r="H20" s="11">
        <v>0</v>
      </c>
      <c r="I20" s="11">
        <v>0</v>
      </c>
      <c r="J20" s="11">
        <v>0</v>
      </c>
      <c r="K20" s="11">
        <v>-149.6</v>
      </c>
      <c r="L20" s="11">
        <v>-1029.8</v>
      </c>
      <c r="M20" s="9"/>
      <c r="N20" s="9"/>
      <c r="O20" s="9"/>
      <c r="P20" s="9"/>
      <c r="Q20" s="9"/>
    </row>
    <row r="21" spans="1:17" x14ac:dyDescent="0.3">
      <c r="A21" s="9"/>
      <c r="B21" s="9"/>
      <c r="C21" s="9"/>
      <c r="D21" s="10" t="s">
        <v>22</v>
      </c>
      <c r="E21" s="9"/>
      <c r="F21" s="9"/>
      <c r="G21" s="9"/>
      <c r="H21" s="12">
        <v>9546.6</v>
      </c>
      <c r="I21" s="12">
        <v>12597.9</v>
      </c>
      <c r="J21" s="12">
        <v>18421</v>
      </c>
      <c r="K21" s="12">
        <v>18442.8</v>
      </c>
      <c r="L21" s="12">
        <v>13047.7</v>
      </c>
      <c r="M21" s="9"/>
      <c r="N21" s="9"/>
      <c r="O21" s="9"/>
      <c r="P21" s="9"/>
      <c r="Q21" s="9"/>
    </row>
    <row r="22" spans="1:17" x14ac:dyDescent="0.3">
      <c r="A22" s="9"/>
      <c r="B22" s="9"/>
      <c r="C22" s="9"/>
      <c r="D22" s="10" t="s">
        <v>23</v>
      </c>
      <c r="E22" s="9"/>
      <c r="F22" s="9"/>
      <c r="G22" s="9"/>
      <c r="H22" s="11"/>
      <c r="I22" s="11"/>
      <c r="J22" s="11"/>
      <c r="K22" s="11"/>
      <c r="L22" s="11"/>
      <c r="M22" s="11">
        <f>SUM(H19:L19,I16:L16,L12)</f>
        <v>89276.3</v>
      </c>
      <c r="N22" s="9"/>
      <c r="O22" s="9"/>
      <c r="P22" s="9"/>
      <c r="Q22" s="9"/>
    </row>
    <row r="23" spans="1:17" x14ac:dyDescent="0.3">
      <c r="A23" s="9"/>
      <c r="B23" s="9"/>
      <c r="C23" s="9"/>
      <c r="D23" s="9" t="s">
        <v>24</v>
      </c>
      <c r="E23" s="9"/>
      <c r="F23" s="9"/>
      <c r="G23" s="9"/>
      <c r="H23" s="11">
        <v>2291.6999999999998</v>
      </c>
      <c r="I23" s="11">
        <v>3542.5</v>
      </c>
      <c r="J23" s="11">
        <v>3965.3</v>
      </c>
      <c r="K23" s="11">
        <v>3619.8</v>
      </c>
      <c r="L23" s="11">
        <v>2739</v>
      </c>
      <c r="M23" s="9"/>
      <c r="N23" s="9"/>
      <c r="O23" s="9"/>
      <c r="P23" s="9"/>
      <c r="Q23" s="9"/>
    </row>
    <row r="24" spans="1:17" x14ac:dyDescent="0.3">
      <c r="A24" s="9"/>
      <c r="B24" s="9"/>
      <c r="C24" s="9"/>
      <c r="D24" s="3" t="s">
        <v>25</v>
      </c>
      <c r="E24" s="9"/>
      <c r="F24" s="9"/>
      <c r="G24" s="9"/>
      <c r="H24" s="11">
        <v>-481.5</v>
      </c>
      <c r="I24" s="11">
        <v>-2123.9</v>
      </c>
      <c r="J24" s="11">
        <v>-1722</v>
      </c>
      <c r="K24" s="11">
        <v>-1980.2</v>
      </c>
      <c r="L24" s="11">
        <v>240.6</v>
      </c>
      <c r="M24" s="9"/>
      <c r="N24" s="9"/>
      <c r="O24" s="9"/>
      <c r="P24" s="9"/>
      <c r="Q24" s="9"/>
    </row>
    <row r="25" spans="1:17" x14ac:dyDescent="0.3">
      <c r="A25" s="9"/>
      <c r="B25" s="9"/>
      <c r="C25" s="9"/>
      <c r="D25" s="9" t="s">
        <v>26</v>
      </c>
      <c r="E25" s="9"/>
      <c r="F25" s="9"/>
      <c r="G25" s="9"/>
      <c r="H25" s="11">
        <v>0</v>
      </c>
      <c r="I25" s="11">
        <v>-313.8</v>
      </c>
      <c r="J25" s="11"/>
      <c r="K25" s="11"/>
      <c r="L25" s="11"/>
      <c r="M25" s="9"/>
      <c r="N25" s="9"/>
      <c r="O25" s="9"/>
      <c r="P25" s="9"/>
      <c r="Q25" s="9"/>
    </row>
    <row r="26" spans="1:17" x14ac:dyDescent="0.3">
      <c r="A26" s="9"/>
      <c r="B26" s="9"/>
      <c r="C26" s="9"/>
      <c r="D26" s="9" t="s">
        <v>27</v>
      </c>
      <c r="E26" s="9"/>
      <c r="F26" s="9"/>
      <c r="G26" s="9"/>
      <c r="H26" s="11">
        <v>1810.2</v>
      </c>
      <c r="I26" s="11">
        <v>1104.8</v>
      </c>
      <c r="J26" s="11">
        <v>2243.3000000000002</v>
      </c>
      <c r="K26" s="11">
        <v>1639.6</v>
      </c>
      <c r="L26" s="11">
        <v>2979.6</v>
      </c>
      <c r="M26" s="9"/>
      <c r="N26" s="9"/>
      <c r="O26" s="9"/>
      <c r="P26" s="9"/>
      <c r="Q26" s="9"/>
    </row>
    <row r="27" spans="1:17" x14ac:dyDescent="0.3">
      <c r="A27" s="9"/>
      <c r="B27" s="265"/>
      <c r="C27" s="265"/>
      <c r="D27" s="266" t="s">
        <v>28</v>
      </c>
      <c r="E27" s="265"/>
      <c r="F27" s="265"/>
      <c r="G27" s="265"/>
      <c r="H27" s="267">
        <v>7736.4</v>
      </c>
      <c r="I27" s="267">
        <v>11493.1</v>
      </c>
      <c r="J27" s="267">
        <v>16177.7</v>
      </c>
      <c r="K27" s="267">
        <v>16803.2</v>
      </c>
      <c r="L27" s="267">
        <v>10068.1</v>
      </c>
      <c r="M27" s="9" t="s">
        <v>425</v>
      </c>
      <c r="N27" s="9"/>
      <c r="O27" s="9"/>
      <c r="P27" s="9"/>
      <c r="Q27" s="9"/>
    </row>
    <row r="28" spans="1:17" x14ac:dyDescent="0.3">
      <c r="A28" s="9"/>
      <c r="B28" s="9"/>
      <c r="C28" s="9"/>
      <c r="D28" s="9" t="s">
        <v>29</v>
      </c>
      <c r="E28" s="9"/>
      <c r="F28" s="9"/>
      <c r="G28" s="9"/>
      <c r="H28" s="11">
        <v>131.30000000000001</v>
      </c>
      <c r="I28" s="11">
        <v>222.4</v>
      </c>
      <c r="J28" s="11">
        <v>327.5</v>
      </c>
      <c r="K28" s="11">
        <v>347</v>
      </c>
      <c r="L28" s="11">
        <v>226.4</v>
      </c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 t="s">
        <v>30</v>
      </c>
      <c r="E29" s="9"/>
      <c r="F29" s="9"/>
      <c r="G29" s="9"/>
      <c r="H29" s="11">
        <v>7605.1</v>
      </c>
      <c r="I29" s="11">
        <v>11270.7</v>
      </c>
      <c r="J29" s="11">
        <v>15850.2</v>
      </c>
      <c r="K29" s="11">
        <v>16456.2</v>
      </c>
      <c r="L29" s="11">
        <v>9841.7000000000007</v>
      </c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13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7" t="s">
        <v>31</v>
      </c>
      <c r="B31" s="8"/>
      <c r="C31" s="8"/>
      <c r="D31" s="8"/>
      <c r="E31" s="8"/>
      <c r="F31" s="8"/>
      <c r="G31" s="8"/>
      <c r="H31" s="7">
        <f t="shared" ref="H31:L31" si="0">H4</f>
        <v>2019</v>
      </c>
      <c r="I31" s="7">
        <f t="shared" si="0"/>
        <v>2020</v>
      </c>
      <c r="J31" s="7">
        <f t="shared" si="0"/>
        <v>2021</v>
      </c>
      <c r="K31" s="7">
        <f t="shared" si="0"/>
        <v>2022</v>
      </c>
      <c r="L31" s="7">
        <f t="shared" si="0"/>
        <v>2023</v>
      </c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10"/>
      <c r="E32" s="9"/>
      <c r="F32" s="9"/>
      <c r="G32" s="9"/>
      <c r="H32" s="10"/>
      <c r="I32" s="15"/>
      <c r="J32" s="10"/>
      <c r="K32" s="10"/>
      <c r="L32" s="10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10" t="s">
        <v>32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10" t="s">
        <v>33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 t="s">
        <v>34</v>
      </c>
      <c r="E35" s="9"/>
      <c r="F35" s="9"/>
      <c r="G35" s="9"/>
      <c r="H35" s="14">
        <v>21056.2</v>
      </c>
      <c r="I35" s="14">
        <v>23062.9</v>
      </c>
      <c r="J35" s="14">
        <v>22339.3</v>
      </c>
      <c r="K35" s="14">
        <v>22871</v>
      </c>
      <c r="L35" s="14">
        <v>20654</v>
      </c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 t="s">
        <v>35</v>
      </c>
      <c r="E36" s="9"/>
      <c r="F36" s="9"/>
      <c r="G36" s="9"/>
      <c r="H36" s="14"/>
      <c r="I36" s="14"/>
      <c r="J36" s="14"/>
      <c r="K36" s="14"/>
      <c r="L36" s="14">
        <v>1378.5</v>
      </c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 t="s">
        <v>36</v>
      </c>
      <c r="E37" s="9"/>
      <c r="F37" s="9"/>
      <c r="G37" s="9"/>
      <c r="H37" s="14">
        <v>4929.6000000000004</v>
      </c>
      <c r="I37" s="14">
        <v>3629.7</v>
      </c>
      <c r="J37" s="14">
        <v>3932.8</v>
      </c>
      <c r="K37" s="14">
        <v>3394.8</v>
      </c>
      <c r="L37" s="14">
        <v>3102.7</v>
      </c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 t="s">
        <v>37</v>
      </c>
      <c r="E38" s="9"/>
      <c r="F38" s="9"/>
      <c r="G38" s="9"/>
      <c r="H38" s="14">
        <v>231.5</v>
      </c>
      <c r="I38" s="14">
        <v>259.3</v>
      </c>
      <c r="J38" s="14">
        <v>3953.9</v>
      </c>
      <c r="K38" s="14">
        <v>4030.9</v>
      </c>
      <c r="L38" s="14">
        <v>4131.7</v>
      </c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 t="s">
        <v>38</v>
      </c>
      <c r="E39" s="9"/>
      <c r="F39" s="9"/>
      <c r="G39" s="9"/>
      <c r="H39" s="14">
        <v>442.6</v>
      </c>
      <c r="I39" s="14">
        <v>2032.7</v>
      </c>
      <c r="J39" s="14">
        <v>1636.6</v>
      </c>
      <c r="K39" s="14">
        <v>2115.4</v>
      </c>
      <c r="L39" s="9">
        <v>664.1</v>
      </c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 t="s">
        <v>39</v>
      </c>
      <c r="E40" s="9"/>
      <c r="F40" s="9"/>
      <c r="G40" s="9"/>
      <c r="H40" s="14">
        <v>3574.1</v>
      </c>
      <c r="I40" s="14">
        <v>3725.2</v>
      </c>
      <c r="J40" s="9">
        <v>0</v>
      </c>
      <c r="K40" s="9">
        <v>0</v>
      </c>
      <c r="L40" s="14">
        <v>0</v>
      </c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 t="s">
        <v>40</v>
      </c>
      <c r="E41" s="9"/>
      <c r="F41" s="9"/>
      <c r="G41" s="9"/>
      <c r="H41" s="14"/>
      <c r="I41" s="14"/>
      <c r="J41" s="9"/>
      <c r="K41" s="9"/>
      <c r="L41" s="9">
        <v>129.69999999999999</v>
      </c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10" t="s">
        <v>41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 t="s">
        <v>42</v>
      </c>
      <c r="E43" s="9"/>
      <c r="F43" s="9"/>
      <c r="G43" s="9"/>
      <c r="H43" s="9">
        <v>957.4</v>
      </c>
      <c r="I43" s="9">
        <v>915</v>
      </c>
      <c r="J43" s="14">
        <v>1539.5</v>
      </c>
      <c r="K43" s="14">
        <v>2316.6999999999998</v>
      </c>
      <c r="L43" s="14">
        <v>3046.1</v>
      </c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 t="s">
        <v>43</v>
      </c>
      <c r="E44" s="9"/>
      <c r="F44" s="9"/>
      <c r="G44" s="9"/>
      <c r="H44" s="14">
        <v>136.30000000000001</v>
      </c>
      <c r="I44" s="14">
        <v>106.1</v>
      </c>
      <c r="J44" s="9">
        <v>80.2</v>
      </c>
      <c r="K44" s="9">
        <v>80.2</v>
      </c>
      <c r="L44" s="9">
        <v>80.2</v>
      </c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 t="s">
        <v>44</v>
      </c>
      <c r="E45" s="9"/>
      <c r="F45" s="9"/>
      <c r="G45" s="9"/>
      <c r="H45" s="9">
        <v>462</v>
      </c>
      <c r="I45" s="9">
        <v>466.8</v>
      </c>
      <c r="J45" s="14">
        <v>607.9</v>
      </c>
      <c r="K45" s="14">
        <v>7106.7</v>
      </c>
      <c r="L45" s="14">
        <v>2952.5</v>
      </c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 t="s">
        <v>45</v>
      </c>
      <c r="E46" s="9"/>
      <c r="F46" s="9"/>
      <c r="G46" s="9"/>
      <c r="H46" s="14">
        <v>7076.3</v>
      </c>
      <c r="I46" s="14">
        <v>9325.7000000000007</v>
      </c>
      <c r="J46" s="14">
        <v>11079.1</v>
      </c>
      <c r="K46" s="14">
        <v>13092.6</v>
      </c>
      <c r="L46" s="14">
        <v>13025</v>
      </c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 t="s">
        <v>46</v>
      </c>
      <c r="E47" s="9"/>
      <c r="F47" s="9"/>
      <c r="G47" s="9"/>
      <c r="H47" s="9">
        <v>392.7</v>
      </c>
      <c r="I47" s="9">
        <v>419.5</v>
      </c>
      <c r="J47" s="9">
        <v>171.1</v>
      </c>
      <c r="K47" s="9">
        <v>533.1</v>
      </c>
      <c r="L47" s="9">
        <v>575.4</v>
      </c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 t="s">
        <v>47</v>
      </c>
      <c r="E48" s="9"/>
      <c r="F48" s="9"/>
      <c r="G48" s="9"/>
      <c r="H48" s="9">
        <v>661.9</v>
      </c>
      <c r="I48" s="9">
        <v>530.1</v>
      </c>
      <c r="J48" s="9">
        <v>564</v>
      </c>
      <c r="K48" s="9">
        <v>796.2</v>
      </c>
      <c r="L48" s="9">
        <v>529.6</v>
      </c>
      <c r="M48" s="9"/>
      <c r="N48" s="9"/>
      <c r="O48" s="9"/>
      <c r="P48" s="9"/>
      <c r="Q48" s="9"/>
    </row>
    <row r="49" spans="1:17" x14ac:dyDescent="0.3">
      <c r="A49" s="10"/>
      <c r="B49" s="10"/>
      <c r="C49" s="10"/>
      <c r="D49" s="10" t="s">
        <v>48</v>
      </c>
      <c r="E49" s="10"/>
      <c r="F49" s="10"/>
      <c r="G49" s="10"/>
      <c r="H49" s="15">
        <v>39920.6</v>
      </c>
      <c r="I49" s="15">
        <v>44473</v>
      </c>
      <c r="J49" s="15">
        <v>45904.4</v>
      </c>
      <c r="K49" s="15">
        <v>56337.599999999999</v>
      </c>
      <c r="L49" s="15">
        <v>50269.5</v>
      </c>
      <c r="M49" s="10"/>
      <c r="N49" s="10"/>
      <c r="O49" s="10"/>
      <c r="P49" s="10"/>
      <c r="Q49" s="10"/>
    </row>
    <row r="50" spans="1:17" x14ac:dyDescent="0.3">
      <c r="A50" s="9"/>
      <c r="B50" s="9"/>
      <c r="C50" s="9"/>
      <c r="D50" s="10" t="s">
        <v>49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 t="s">
        <v>50</v>
      </c>
      <c r="E51" s="9"/>
      <c r="F51" s="9"/>
      <c r="G51" s="9"/>
      <c r="H51" s="14">
        <v>14998.7</v>
      </c>
      <c r="I51" s="14">
        <v>18188.2</v>
      </c>
      <c r="J51" s="14">
        <v>23124.400000000001</v>
      </c>
      <c r="K51" s="14">
        <v>30055.3</v>
      </c>
      <c r="L51" s="14">
        <v>26075.3</v>
      </c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10" t="s">
        <v>51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 t="s">
        <v>42</v>
      </c>
      <c r="E53" s="9"/>
      <c r="F53" s="9"/>
      <c r="G53" s="9"/>
      <c r="H53" s="14">
        <v>2278.8000000000002</v>
      </c>
      <c r="I53" s="14">
        <v>1698.9</v>
      </c>
      <c r="J53" s="14">
        <v>1788.3</v>
      </c>
      <c r="K53" s="14">
        <v>1393.1</v>
      </c>
      <c r="L53" s="14">
        <v>3172.1</v>
      </c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 t="s">
        <v>52</v>
      </c>
      <c r="E54" s="9"/>
      <c r="F54" s="9"/>
      <c r="G54" s="9"/>
      <c r="H54" s="14">
        <v>12484.1</v>
      </c>
      <c r="I54" s="14">
        <v>16493.599999999999</v>
      </c>
      <c r="J54" s="14">
        <v>16072.1</v>
      </c>
      <c r="K54" s="14">
        <v>18846</v>
      </c>
      <c r="L54" s="14">
        <v>21321.8</v>
      </c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 t="s">
        <v>53</v>
      </c>
      <c r="E55" s="9"/>
      <c r="F55" s="9"/>
      <c r="G55" s="9"/>
      <c r="H55" s="14">
        <v>2490.5</v>
      </c>
      <c r="I55" s="14">
        <v>1759.4</v>
      </c>
      <c r="J55" s="14">
        <v>1742.2</v>
      </c>
      <c r="K55" s="14">
        <v>2321.8000000000002</v>
      </c>
      <c r="L55" s="14">
        <v>2738</v>
      </c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 t="s">
        <v>54</v>
      </c>
      <c r="E56" s="9"/>
      <c r="F56" s="9"/>
      <c r="G56" s="9"/>
      <c r="H56" s="14">
        <v>4125.5</v>
      </c>
      <c r="I56" s="14">
        <v>9162.7000000000007</v>
      </c>
      <c r="J56" s="14">
        <v>18162.3</v>
      </c>
      <c r="K56" s="14">
        <v>23464</v>
      </c>
      <c r="L56" s="14">
        <v>23430.9</v>
      </c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 t="s">
        <v>55</v>
      </c>
      <c r="E57" s="9"/>
      <c r="F57" s="9"/>
      <c r="G57" s="9"/>
      <c r="H57" s="9">
        <v>308</v>
      </c>
      <c r="I57" s="9">
        <v>279.7</v>
      </c>
      <c r="J57" s="9">
        <v>187.3</v>
      </c>
      <c r="K57" s="9">
        <v>202.5</v>
      </c>
      <c r="L57" s="9">
        <v>67.7</v>
      </c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 t="s">
        <v>56</v>
      </c>
      <c r="E58" s="9"/>
      <c r="F58" s="9"/>
      <c r="G58" s="9"/>
      <c r="H58" s="14">
        <v>1064.5999999999999</v>
      </c>
      <c r="I58" s="14">
        <v>1931</v>
      </c>
      <c r="J58" s="14">
        <v>2606</v>
      </c>
      <c r="K58" s="9">
        <v>1731.5</v>
      </c>
      <c r="L58" s="14">
        <v>1897.5</v>
      </c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 t="s">
        <v>57</v>
      </c>
      <c r="E59" s="9"/>
      <c r="F59" s="9"/>
      <c r="G59" s="9"/>
      <c r="H59" s="14">
        <v>4293.8</v>
      </c>
      <c r="I59" s="14">
        <v>5266</v>
      </c>
      <c r="J59" s="14">
        <v>5550.1</v>
      </c>
      <c r="K59" s="14">
        <v>6322.8</v>
      </c>
      <c r="L59" s="14">
        <v>7360.9</v>
      </c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15">
        <v>42044</v>
      </c>
      <c r="I60" s="15">
        <v>54779.5</v>
      </c>
      <c r="J60" s="15">
        <v>69232.7</v>
      </c>
      <c r="K60" s="15">
        <v>84337</v>
      </c>
      <c r="L60" s="15">
        <v>86064.2</v>
      </c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 t="s">
        <v>58</v>
      </c>
      <c r="E61" s="9"/>
      <c r="F61" s="9"/>
      <c r="G61" s="9"/>
      <c r="H61" s="9">
        <v>117.3</v>
      </c>
      <c r="I61" s="9">
        <v>180.8</v>
      </c>
      <c r="J61" s="9">
        <v>55.5</v>
      </c>
      <c r="K61" s="9">
        <v>17.3</v>
      </c>
      <c r="L61" s="14">
        <v>1232.5999999999999</v>
      </c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10" t="s">
        <v>59</v>
      </c>
      <c r="E62" s="9"/>
      <c r="F62" s="9"/>
      <c r="G62" s="9"/>
      <c r="H62" s="15">
        <v>42161.3</v>
      </c>
      <c r="I62" s="15">
        <v>54960.3</v>
      </c>
      <c r="J62" s="15">
        <v>69288.2</v>
      </c>
      <c r="K62" s="15">
        <v>84354.3</v>
      </c>
      <c r="L62" s="15">
        <v>87296.8</v>
      </c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10" t="s">
        <v>60</v>
      </c>
      <c r="E63" s="9"/>
      <c r="F63" s="9"/>
      <c r="G63" s="9"/>
      <c r="H63" s="15">
        <v>82081.899999999994</v>
      </c>
      <c r="I63" s="15">
        <v>99433.3</v>
      </c>
      <c r="J63" s="15">
        <v>115192.6</v>
      </c>
      <c r="K63" s="15">
        <v>140691.9</v>
      </c>
      <c r="L63" s="15">
        <v>137566.29999999999</v>
      </c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10" t="s">
        <v>61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10" t="s">
        <v>62</v>
      </c>
      <c r="E65" s="9"/>
      <c r="F65" s="9"/>
      <c r="G65" s="9"/>
      <c r="H65" s="14"/>
      <c r="I65" s="14"/>
      <c r="J65" s="14"/>
      <c r="K65" s="14"/>
      <c r="L65" s="14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 t="s">
        <v>63</v>
      </c>
      <c r="E66" s="9"/>
      <c r="F66" s="9"/>
      <c r="G66" s="9"/>
      <c r="H66" s="9">
        <v>239.1</v>
      </c>
      <c r="I66" s="9">
        <v>239.1</v>
      </c>
      <c r="J66" s="9">
        <v>239.1</v>
      </c>
      <c r="K66" s="9">
        <v>239.1</v>
      </c>
      <c r="L66" s="9">
        <v>239.1</v>
      </c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 t="s">
        <v>64</v>
      </c>
      <c r="E67" s="9"/>
      <c r="F67" s="9"/>
      <c r="G67" s="9"/>
      <c r="H67" s="14">
        <v>54154.3</v>
      </c>
      <c r="I67" s="14">
        <v>61367.6</v>
      </c>
      <c r="J67" s="14">
        <v>73528.2</v>
      </c>
      <c r="K67" s="14">
        <v>86139.9</v>
      </c>
      <c r="L67" s="14">
        <v>90213.8</v>
      </c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 t="s">
        <v>65</v>
      </c>
      <c r="E68" s="9"/>
      <c r="F68" s="9"/>
      <c r="G68" s="9"/>
      <c r="H68" s="14">
        <v>54393.4</v>
      </c>
      <c r="I68" s="14">
        <v>61606.7</v>
      </c>
      <c r="J68" s="14">
        <v>73767.3</v>
      </c>
      <c r="K68" s="14">
        <v>86379</v>
      </c>
      <c r="L68" s="14">
        <v>90452.9</v>
      </c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 t="s">
        <v>66</v>
      </c>
      <c r="E69" s="9"/>
      <c r="F69" s="9"/>
      <c r="G69" s="9"/>
      <c r="H69" s="14">
        <v>1326.1</v>
      </c>
      <c r="I69" s="14">
        <v>1483</v>
      </c>
      <c r="J69" s="14">
        <v>1812.8</v>
      </c>
      <c r="K69" s="14">
        <v>2094.3000000000002</v>
      </c>
      <c r="L69" s="14">
        <v>3897.1</v>
      </c>
      <c r="M69" s="14"/>
      <c r="N69" s="9"/>
      <c r="O69" s="9"/>
      <c r="P69" s="9"/>
      <c r="Q69" s="9"/>
    </row>
    <row r="70" spans="1:17" x14ac:dyDescent="0.3">
      <c r="A70" s="10"/>
      <c r="B70" s="10"/>
      <c r="C70" s="10"/>
      <c r="D70" s="10" t="s">
        <v>67</v>
      </c>
      <c r="E70" s="10"/>
      <c r="F70" s="10"/>
      <c r="G70" s="10"/>
      <c r="H70" s="15">
        <v>55719.5</v>
      </c>
      <c r="I70" s="15">
        <v>63089.7</v>
      </c>
      <c r="J70" s="15">
        <v>75580.100000000006</v>
      </c>
      <c r="K70" s="15">
        <v>88473.3</v>
      </c>
      <c r="L70" s="15">
        <v>94350</v>
      </c>
      <c r="M70" s="10"/>
      <c r="N70" s="10"/>
      <c r="O70" s="10"/>
      <c r="P70" s="10"/>
      <c r="Q70" s="10"/>
    </row>
    <row r="71" spans="1:17" x14ac:dyDescent="0.3">
      <c r="A71" s="9"/>
      <c r="B71" s="9"/>
      <c r="C71" s="9"/>
      <c r="D71" s="10" t="s">
        <v>68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10" t="s">
        <v>69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10" t="s">
        <v>70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 t="s">
        <v>71</v>
      </c>
      <c r="E74" s="9"/>
      <c r="F74" s="9"/>
      <c r="G74" s="9"/>
      <c r="H74" s="14">
        <v>2313</v>
      </c>
      <c r="I74" s="14">
        <v>1592.4</v>
      </c>
      <c r="J74" s="9">
        <v>279.3</v>
      </c>
      <c r="K74" s="9">
        <v>93.8</v>
      </c>
      <c r="L74" s="9">
        <v>0</v>
      </c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 t="s">
        <v>72</v>
      </c>
      <c r="E75" s="9"/>
      <c r="F75" s="9"/>
      <c r="G75" s="9"/>
      <c r="H75" s="14"/>
      <c r="I75" s="14"/>
      <c r="J75" s="9">
        <v>697.1</v>
      </c>
      <c r="K75" s="9">
        <v>664.7</v>
      </c>
      <c r="L75" s="9">
        <v>703.3</v>
      </c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 t="s">
        <v>73</v>
      </c>
      <c r="E76" s="9"/>
      <c r="F76" s="9"/>
      <c r="G76" s="9"/>
      <c r="H76" s="14"/>
      <c r="I76" s="14"/>
      <c r="J76" s="9"/>
      <c r="K76" s="9"/>
      <c r="L76" s="14">
        <v>1660.1</v>
      </c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 t="s">
        <v>74</v>
      </c>
      <c r="E77" s="9"/>
      <c r="F77" s="9"/>
      <c r="G77" s="9"/>
      <c r="H77" s="14">
        <v>1737.2</v>
      </c>
      <c r="I77" s="14">
        <v>2220.4</v>
      </c>
      <c r="J77" s="14">
        <v>2507.3000000000002</v>
      </c>
      <c r="K77" s="14">
        <v>3327.5</v>
      </c>
      <c r="L77" s="14">
        <v>3693.6</v>
      </c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 t="s">
        <v>75</v>
      </c>
      <c r="E78" s="9"/>
      <c r="F78" s="9"/>
      <c r="G78" s="9"/>
      <c r="H78" s="9">
        <v>3</v>
      </c>
      <c r="I78" s="9" t="s">
        <v>76</v>
      </c>
      <c r="J78" s="14"/>
      <c r="K78" s="14"/>
      <c r="L78" s="9">
        <v>0</v>
      </c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 t="s">
        <v>77</v>
      </c>
      <c r="E79" s="9"/>
      <c r="F79" s="9"/>
      <c r="G79" s="9"/>
      <c r="H79" s="14">
        <v>133.9</v>
      </c>
      <c r="I79" s="14">
        <v>97.7</v>
      </c>
      <c r="J79" s="9">
        <v>88.3</v>
      </c>
      <c r="K79" s="9">
        <v>79.2</v>
      </c>
      <c r="L79" s="9">
        <v>88</v>
      </c>
      <c r="M79" s="9"/>
      <c r="N79" s="9"/>
      <c r="O79" s="9"/>
      <c r="P79" s="9"/>
      <c r="Q79" s="9"/>
    </row>
    <row r="80" spans="1:17" x14ac:dyDescent="0.3">
      <c r="A80" s="10"/>
      <c r="B80" s="10"/>
      <c r="C80" s="10"/>
      <c r="D80" s="10" t="s">
        <v>78</v>
      </c>
      <c r="E80" s="10"/>
      <c r="F80" s="10"/>
      <c r="G80" s="10"/>
      <c r="H80" s="15">
        <v>4187.1000000000004</v>
      </c>
      <c r="I80" s="15">
        <v>3910.5</v>
      </c>
      <c r="J80" s="15">
        <v>3572</v>
      </c>
      <c r="K80" s="15">
        <v>4165.2</v>
      </c>
      <c r="L80" s="15">
        <v>6145</v>
      </c>
      <c r="M80" s="10"/>
      <c r="N80" s="10"/>
      <c r="O80" s="10"/>
      <c r="P80" s="10"/>
      <c r="Q80" s="10"/>
    </row>
    <row r="81" spans="1:17" x14ac:dyDescent="0.3">
      <c r="A81" s="9"/>
      <c r="B81" s="9"/>
      <c r="C81" s="9"/>
      <c r="D81" s="9" t="s">
        <v>79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 t="s">
        <v>70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 t="s">
        <v>71</v>
      </c>
      <c r="E83" s="9"/>
      <c r="F83" s="9"/>
      <c r="G83" s="9"/>
      <c r="H83" s="14">
        <v>6712.7</v>
      </c>
      <c r="I83" s="14">
        <v>15035.1</v>
      </c>
      <c r="J83" s="14">
        <v>16727.900000000001</v>
      </c>
      <c r="K83" s="14">
        <v>25707.4</v>
      </c>
      <c r="L83" s="14">
        <v>13071.5</v>
      </c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 t="s">
        <v>80</v>
      </c>
      <c r="E84" s="9"/>
      <c r="F84" s="9"/>
      <c r="G84" s="9"/>
      <c r="H84" s="9"/>
      <c r="I84" s="9"/>
      <c r="J84" s="14">
        <v>215.5</v>
      </c>
      <c r="K84" s="14">
        <v>216</v>
      </c>
      <c r="L84" s="9">
        <v>192</v>
      </c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 t="s">
        <v>81</v>
      </c>
      <c r="E85" s="9"/>
      <c r="F85" s="9"/>
      <c r="G85" s="9"/>
      <c r="H85" s="9"/>
      <c r="I85" s="9"/>
      <c r="J85" s="14"/>
      <c r="K85" s="14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 t="s">
        <v>82</v>
      </c>
      <c r="E86" s="9"/>
      <c r="F86" s="9"/>
      <c r="G86" s="9"/>
      <c r="H86" s="9">
        <v>606.29999999999995</v>
      </c>
      <c r="I86" s="14">
        <v>1025</v>
      </c>
      <c r="J86" s="14">
        <v>1189.5999999999999</v>
      </c>
      <c r="K86" s="9">
        <v>924.2</v>
      </c>
      <c r="L86" s="14">
        <v>1104.5999999999999</v>
      </c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 t="s">
        <v>83</v>
      </c>
      <c r="E87" s="9"/>
      <c r="F87" s="9"/>
      <c r="G87" s="9"/>
      <c r="H87" s="14">
        <v>9016.2000000000007</v>
      </c>
      <c r="I87" s="14">
        <v>8515.5</v>
      </c>
      <c r="J87" s="14">
        <v>9504.5</v>
      </c>
      <c r="K87" s="14">
        <v>10809.6</v>
      </c>
      <c r="L87" s="14">
        <v>10545.5</v>
      </c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 t="s">
        <v>84</v>
      </c>
      <c r="E88" s="9"/>
      <c r="F88" s="9"/>
      <c r="G88" s="9"/>
      <c r="H88" s="14">
        <v>3428.7</v>
      </c>
      <c r="I88" s="14">
        <v>4519.6000000000004</v>
      </c>
      <c r="J88" s="14">
        <v>4653.8999999999996</v>
      </c>
      <c r="K88" s="14">
        <v>5993.8</v>
      </c>
      <c r="L88" s="14">
        <v>6326.9</v>
      </c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 t="s">
        <v>85</v>
      </c>
      <c r="E89" s="9"/>
      <c r="F89" s="9"/>
      <c r="G89" s="9"/>
      <c r="H89" s="14">
        <v>852.1</v>
      </c>
      <c r="I89" s="14">
        <v>1035.0999999999999</v>
      </c>
      <c r="J89" s="14">
        <v>1193.4000000000001</v>
      </c>
      <c r="K89" s="14">
        <v>1503.2</v>
      </c>
      <c r="L89" s="14">
        <v>1868.9</v>
      </c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 t="s">
        <v>86</v>
      </c>
      <c r="E90" s="9"/>
      <c r="F90" s="9"/>
      <c r="G90" s="9"/>
      <c r="H90" s="14">
        <v>1538.2</v>
      </c>
      <c r="I90" s="14">
        <v>1847</v>
      </c>
      <c r="J90" s="14">
        <v>2366.4</v>
      </c>
      <c r="K90" s="14">
        <v>2736</v>
      </c>
      <c r="L90" s="14">
        <v>3727.5</v>
      </c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 t="s">
        <v>87</v>
      </c>
      <c r="E91" s="9"/>
      <c r="F91" s="9"/>
      <c r="G91" s="9"/>
      <c r="H91" s="14">
        <v>21.1</v>
      </c>
      <c r="I91" s="14">
        <v>455.8</v>
      </c>
      <c r="J91" s="14">
        <v>189.3</v>
      </c>
      <c r="K91" s="14">
        <v>163.19999999999999</v>
      </c>
      <c r="L91" s="9">
        <v>234.4</v>
      </c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10" t="s">
        <v>88</v>
      </c>
      <c r="E92" s="9"/>
      <c r="F92" s="9"/>
      <c r="G92" s="9"/>
      <c r="H92" s="15">
        <v>22175.3</v>
      </c>
      <c r="I92" s="15">
        <v>32433.1</v>
      </c>
      <c r="J92" s="15">
        <v>36040.5</v>
      </c>
      <c r="K92" s="15">
        <v>48053.4</v>
      </c>
      <c r="L92" s="15">
        <v>37071.5</v>
      </c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10" t="s">
        <v>89</v>
      </c>
      <c r="E93" s="9"/>
      <c r="F93" s="9"/>
      <c r="G93" s="9"/>
      <c r="H93" s="15">
        <v>26362.400000000001</v>
      </c>
      <c r="I93" s="15">
        <v>36343.599999999999</v>
      </c>
      <c r="J93" s="15">
        <v>39612.5</v>
      </c>
      <c r="K93" s="15">
        <v>52218.6</v>
      </c>
      <c r="L93" s="15">
        <v>43216.5</v>
      </c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10" t="s">
        <v>90</v>
      </c>
      <c r="E94" s="9"/>
      <c r="F94" s="9"/>
      <c r="G94" s="9"/>
      <c r="H94" s="15">
        <v>82081.899999999994</v>
      </c>
      <c r="I94" s="15">
        <v>99433.3</v>
      </c>
      <c r="J94" s="15">
        <v>115192.6</v>
      </c>
      <c r="K94" s="15">
        <v>140691.9</v>
      </c>
      <c r="L94" s="15">
        <v>137566.5</v>
      </c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15"/>
      <c r="K95" s="15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10"/>
      <c r="K96" s="10"/>
      <c r="L96" s="16"/>
      <c r="M96" s="9"/>
      <c r="N96" s="9"/>
      <c r="O96" s="9"/>
      <c r="P96" s="9"/>
      <c r="Q96" s="9"/>
    </row>
    <row r="97" spans="1:17" x14ac:dyDescent="0.3">
      <c r="A97" s="7" t="s">
        <v>91</v>
      </c>
      <c r="B97" s="8"/>
      <c r="C97" s="8"/>
      <c r="D97" s="8"/>
      <c r="E97" s="8"/>
      <c r="F97" s="8"/>
      <c r="G97" s="8"/>
      <c r="H97" s="7">
        <v>2019</v>
      </c>
      <c r="I97" s="7">
        <v>2020</v>
      </c>
      <c r="J97" s="7">
        <v>2021</v>
      </c>
      <c r="K97" s="7">
        <v>2022</v>
      </c>
      <c r="L97" s="7">
        <v>2023</v>
      </c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10" t="s">
        <v>92</v>
      </c>
      <c r="E98" s="9"/>
      <c r="F98" s="9"/>
      <c r="G98" s="9"/>
      <c r="H98" s="14"/>
      <c r="I98" s="14"/>
      <c r="J98" s="14"/>
      <c r="K98" s="14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15" t="s">
        <v>93</v>
      </c>
      <c r="E99" s="9"/>
      <c r="F99" s="9"/>
      <c r="G99" s="9"/>
      <c r="H99" s="15">
        <v>9546.6</v>
      </c>
      <c r="I99" s="15">
        <v>12597.9</v>
      </c>
      <c r="J99" s="15">
        <v>18421</v>
      </c>
      <c r="K99" s="15">
        <v>18442.8</v>
      </c>
      <c r="L99" s="15">
        <v>13047.7</v>
      </c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14" t="s">
        <v>94</v>
      </c>
      <c r="E100" s="9"/>
      <c r="F100" s="9"/>
      <c r="G100" s="9"/>
      <c r="H100" s="14"/>
      <c r="I100" s="14"/>
      <c r="J100" s="14"/>
      <c r="K100" s="14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14" t="s">
        <v>95</v>
      </c>
      <c r="E101" s="9"/>
      <c r="F101" s="9"/>
      <c r="G101" s="9"/>
      <c r="H101" s="14">
        <v>1931.8</v>
      </c>
      <c r="I101" s="14">
        <v>2527.6</v>
      </c>
      <c r="J101" s="14">
        <v>2745.8</v>
      </c>
      <c r="K101" s="9">
        <v>3039.6</v>
      </c>
      <c r="L101" s="14">
        <v>3104.2</v>
      </c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 t="s">
        <v>96</v>
      </c>
      <c r="E102" s="9"/>
      <c r="F102" s="9"/>
      <c r="G102" s="9"/>
      <c r="H102" s="9"/>
      <c r="I102" s="9"/>
      <c r="J102" s="9" t="s">
        <v>76</v>
      </c>
      <c r="K102" s="9">
        <v>-160.1</v>
      </c>
      <c r="L102" s="9">
        <v>-17.5</v>
      </c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 t="s">
        <v>97</v>
      </c>
      <c r="E103" s="9"/>
      <c r="F103" s="9"/>
      <c r="G103" s="9"/>
      <c r="H103" s="9">
        <v>-73.3</v>
      </c>
      <c r="I103" s="9">
        <v>-0.8</v>
      </c>
      <c r="J103" s="9">
        <v>-102.6</v>
      </c>
      <c r="K103" s="14">
        <v>-33.799999999999997</v>
      </c>
      <c r="L103" s="9">
        <v>-21.6</v>
      </c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14" t="s">
        <v>98</v>
      </c>
      <c r="E104" s="9"/>
      <c r="F104" s="9"/>
      <c r="G104" s="9"/>
      <c r="H104" s="14">
        <v>45.5</v>
      </c>
      <c r="I104" s="14">
        <v>172.2</v>
      </c>
      <c r="J104" s="14">
        <v>-266.89999999999998</v>
      </c>
      <c r="K104" s="9">
        <v>69</v>
      </c>
      <c r="L104" s="9">
        <v>-287</v>
      </c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 t="s">
        <v>99</v>
      </c>
      <c r="E105" s="9"/>
      <c r="F105" s="9"/>
      <c r="G105" s="9"/>
      <c r="H105" s="9">
        <v>54.8</v>
      </c>
      <c r="I105" s="9">
        <v>-12.6</v>
      </c>
      <c r="J105" s="9">
        <v>-37</v>
      </c>
      <c r="K105" s="9">
        <v>14.3</v>
      </c>
      <c r="L105" s="9">
        <v>123.6</v>
      </c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 t="s">
        <v>100</v>
      </c>
      <c r="E106" s="9"/>
      <c r="F106" s="9"/>
      <c r="G106" s="9"/>
      <c r="H106" s="9">
        <v>5.8</v>
      </c>
      <c r="I106" s="9">
        <v>1.5</v>
      </c>
      <c r="J106" s="9">
        <v>1.1000000000000001</v>
      </c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 t="s">
        <v>101</v>
      </c>
      <c r="E107" s="9"/>
      <c r="F107" s="9"/>
      <c r="G107" s="9"/>
      <c r="H107" s="9"/>
      <c r="I107" s="9"/>
      <c r="J107" s="9">
        <v>-114.9</v>
      </c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14" t="s">
        <v>102</v>
      </c>
      <c r="E108" s="9"/>
      <c r="F108" s="9"/>
      <c r="G108" s="9"/>
      <c r="H108" s="14">
        <v>-113.8</v>
      </c>
      <c r="I108" s="14">
        <v>-275.39999999999998</v>
      </c>
      <c r="J108" s="14">
        <v>9.6999999999999993</v>
      </c>
      <c r="K108" s="14">
        <v>-177</v>
      </c>
      <c r="L108" s="9">
        <v>-118.8</v>
      </c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 t="s">
        <v>103</v>
      </c>
      <c r="E109" s="9"/>
      <c r="F109" s="9"/>
      <c r="G109" s="9"/>
      <c r="H109" s="9">
        <v>-1.2</v>
      </c>
      <c r="I109" s="9">
        <v>-1.1000000000000001</v>
      </c>
      <c r="J109" s="9">
        <v>-0.2</v>
      </c>
      <c r="K109" s="14">
        <v>-1.9</v>
      </c>
      <c r="L109" s="9">
        <v>-1.9</v>
      </c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 t="s">
        <v>104</v>
      </c>
      <c r="E110" s="9"/>
      <c r="F110" s="9"/>
      <c r="G110" s="9"/>
      <c r="H110" s="9"/>
      <c r="I110" s="9"/>
      <c r="J110" s="9">
        <v>-351</v>
      </c>
      <c r="K110" s="14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 t="s">
        <v>105</v>
      </c>
      <c r="E111" s="9"/>
      <c r="F111" s="9"/>
      <c r="G111" s="9"/>
      <c r="H111" s="9" t="s">
        <v>76</v>
      </c>
      <c r="I111" s="9">
        <v>32.700000000000003</v>
      </c>
      <c r="J111" s="9" t="s">
        <v>76</v>
      </c>
      <c r="K111" s="14">
        <v>11.2</v>
      </c>
      <c r="L111" s="14">
        <v>1051.5</v>
      </c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 t="s">
        <v>106</v>
      </c>
      <c r="E112" s="9"/>
      <c r="F112" s="9"/>
      <c r="G112" s="9"/>
      <c r="H112" s="9">
        <v>-412.8</v>
      </c>
      <c r="I112" s="9">
        <v>-631.20000000000005</v>
      </c>
      <c r="J112" s="9">
        <v>-901.2</v>
      </c>
      <c r="K112" s="14">
        <v>-1226.8</v>
      </c>
      <c r="L112" s="14">
        <v>-1711.4</v>
      </c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 t="s">
        <v>107</v>
      </c>
      <c r="E113" s="9"/>
      <c r="F113" s="9"/>
      <c r="G113" s="9"/>
      <c r="H113" s="9">
        <v>546.29999999999995</v>
      </c>
      <c r="I113" s="9">
        <v>650.6</v>
      </c>
      <c r="J113" s="9">
        <v>589.20000000000005</v>
      </c>
      <c r="K113" s="14">
        <v>523.70000000000005</v>
      </c>
      <c r="L113" s="14">
        <v>1073.5999999999999</v>
      </c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 t="s">
        <v>108</v>
      </c>
      <c r="E114" s="9"/>
      <c r="F114" s="9"/>
      <c r="G114" s="9"/>
      <c r="H114" s="9">
        <v>185.9</v>
      </c>
      <c r="I114" s="9">
        <v>101.7</v>
      </c>
      <c r="J114" s="9">
        <v>82.8</v>
      </c>
      <c r="K114" s="14">
        <v>27.8</v>
      </c>
      <c r="L114" s="9">
        <v>48.8</v>
      </c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 t="s">
        <v>109</v>
      </c>
      <c r="E115" s="9"/>
      <c r="F115" s="9"/>
      <c r="G115" s="9"/>
      <c r="H115" s="9">
        <v>-5.3</v>
      </c>
      <c r="I115" s="9">
        <v>-6.5</v>
      </c>
      <c r="J115" s="9">
        <v>-8.4</v>
      </c>
      <c r="K115" s="14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15" t="s">
        <v>110</v>
      </c>
      <c r="E116" s="9"/>
      <c r="F116" s="9"/>
      <c r="G116" s="9"/>
      <c r="H116" s="15">
        <v>2163.6999999999998</v>
      </c>
      <c r="I116" s="15">
        <v>2558.6999999999998</v>
      </c>
      <c r="J116" s="15">
        <v>1646.4</v>
      </c>
      <c r="K116" s="15">
        <v>2086</v>
      </c>
      <c r="L116" s="15">
        <v>3243.5</v>
      </c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14" t="s">
        <v>111</v>
      </c>
      <c r="E117" s="9"/>
      <c r="F117" s="9"/>
      <c r="G117" s="9"/>
      <c r="H117" s="14">
        <v>11710.3</v>
      </c>
      <c r="I117" s="14">
        <v>15156.6</v>
      </c>
      <c r="J117" s="14">
        <v>20067.400000000001</v>
      </c>
      <c r="K117" s="14">
        <v>20528.8</v>
      </c>
      <c r="L117" s="14">
        <v>16291.2</v>
      </c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10" t="s">
        <v>112</v>
      </c>
      <c r="E118" s="9"/>
      <c r="F118" s="9"/>
      <c r="G118" s="9"/>
      <c r="H118" s="9"/>
      <c r="I118" s="9"/>
      <c r="J118" s="9"/>
      <c r="K118" s="14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14" t="s">
        <v>113</v>
      </c>
      <c r="E119" s="9"/>
      <c r="F119" s="9"/>
      <c r="G119" s="9"/>
      <c r="H119" s="14">
        <v>-1558.5</v>
      </c>
      <c r="I119" s="14">
        <v>-2574.4</v>
      </c>
      <c r="J119" s="14">
        <v>-257.60000000000002</v>
      </c>
      <c r="K119" s="14">
        <v>-2217.5</v>
      </c>
      <c r="L119" s="14">
        <v>-1347.1</v>
      </c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 t="s">
        <v>114</v>
      </c>
      <c r="E120" s="9"/>
      <c r="F120" s="9"/>
      <c r="G120" s="9"/>
      <c r="H120" s="9">
        <v>156.80000000000001</v>
      </c>
      <c r="I120" s="9">
        <v>-1538</v>
      </c>
      <c r="J120" s="9">
        <v>-926.5</v>
      </c>
      <c r="K120" s="9">
        <v>-435.8</v>
      </c>
      <c r="L120" s="9">
        <v>-770.1</v>
      </c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14" t="s">
        <v>115</v>
      </c>
      <c r="E121" s="9"/>
      <c r="F121" s="9"/>
      <c r="G121" s="9"/>
      <c r="H121" s="14">
        <v>-373</v>
      </c>
      <c r="I121" s="14">
        <v>-2817.4</v>
      </c>
      <c r="J121" s="14">
        <v>-4977</v>
      </c>
      <c r="K121" s="14">
        <v>-6731.4</v>
      </c>
      <c r="L121" s="14">
        <v>4734.1000000000004</v>
      </c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14" t="s">
        <v>116</v>
      </c>
      <c r="E122" s="9"/>
      <c r="F122" s="9"/>
      <c r="G122" s="9"/>
      <c r="H122" s="14">
        <v>-109.5</v>
      </c>
      <c r="I122" s="14">
        <v>-37.4</v>
      </c>
      <c r="J122" s="14">
        <v>2124.1999999999998</v>
      </c>
      <c r="K122" s="14">
        <v>3344.9</v>
      </c>
      <c r="L122" s="9">
        <v>145.1</v>
      </c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 t="s">
        <v>117</v>
      </c>
      <c r="E123" s="9"/>
      <c r="F123" s="9"/>
      <c r="G123" s="9"/>
      <c r="H123" s="9">
        <v>481.5</v>
      </c>
      <c r="I123" s="9">
        <v>495.2</v>
      </c>
      <c r="J123" s="9">
        <v>625.29999999999995</v>
      </c>
      <c r="K123" s="9">
        <v>590.20000000000005</v>
      </c>
      <c r="L123" s="9">
        <v>505.7</v>
      </c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15" t="s">
        <v>118</v>
      </c>
      <c r="E124" s="9"/>
      <c r="F124" s="9"/>
      <c r="G124" s="9"/>
      <c r="H124" s="15">
        <v>-1402.7</v>
      </c>
      <c r="I124" s="15">
        <v>-6472</v>
      </c>
      <c r="J124" s="15">
        <v>-3411.6</v>
      </c>
      <c r="K124" s="15">
        <v>-5449.6</v>
      </c>
      <c r="L124" s="15">
        <v>3267.7</v>
      </c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14" t="s">
        <v>119</v>
      </c>
      <c r="E125" s="9"/>
      <c r="F125" s="9"/>
      <c r="G125" s="9"/>
      <c r="H125" s="14">
        <v>10307.6</v>
      </c>
      <c r="I125" s="14">
        <v>8684.6</v>
      </c>
      <c r="J125" s="14">
        <v>16655.8</v>
      </c>
      <c r="K125" s="14">
        <v>15079.2</v>
      </c>
      <c r="L125" s="14">
        <v>19558.900000000001</v>
      </c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14" t="s">
        <v>120</v>
      </c>
      <c r="E126" s="9"/>
      <c r="F126" s="9"/>
      <c r="G126" s="9"/>
      <c r="H126" s="14">
        <v>-2511.1</v>
      </c>
      <c r="I126" s="14">
        <v>-2833.8</v>
      </c>
      <c r="J126" s="14">
        <v>-4006.8</v>
      </c>
      <c r="K126" s="14">
        <v>-3969</v>
      </c>
      <c r="L126" s="14">
        <v>-2733.9</v>
      </c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17" t="s">
        <v>121</v>
      </c>
      <c r="E127" s="18"/>
      <c r="F127" s="18"/>
      <c r="G127" s="18"/>
      <c r="H127" s="17">
        <v>7796.5</v>
      </c>
      <c r="I127" s="17">
        <v>5850.8</v>
      </c>
      <c r="J127" s="17">
        <v>12649</v>
      </c>
      <c r="K127" s="17">
        <v>11110.2</v>
      </c>
      <c r="L127" s="17">
        <v>16825</v>
      </c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14" t="s">
        <v>122</v>
      </c>
      <c r="E128" s="9"/>
      <c r="F128" s="9"/>
      <c r="G128" s="9"/>
      <c r="H128" s="14"/>
      <c r="I128" s="14"/>
      <c r="J128" s="14"/>
      <c r="K128" s="14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14" t="s">
        <v>123</v>
      </c>
      <c r="E129" s="9"/>
      <c r="F129" s="9"/>
      <c r="G129" s="9"/>
      <c r="H129" s="14">
        <v>-5291.6</v>
      </c>
      <c r="I129" s="14">
        <v>-3630.9</v>
      </c>
      <c r="J129" s="14">
        <v>-1949.1</v>
      </c>
      <c r="K129" s="14">
        <v>-3388.8</v>
      </c>
      <c r="L129" s="14">
        <v>-2329.1</v>
      </c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14" t="s">
        <v>124</v>
      </c>
      <c r="E130" s="9"/>
      <c r="F130" s="9"/>
      <c r="G130" s="9"/>
      <c r="H130" s="14">
        <v>22.3</v>
      </c>
      <c r="I130" s="14">
        <v>154.5</v>
      </c>
      <c r="J130" s="14">
        <v>104.6</v>
      </c>
      <c r="K130" s="14">
        <v>109</v>
      </c>
      <c r="L130" s="9">
        <v>32</v>
      </c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14" t="s">
        <v>125</v>
      </c>
      <c r="E131" s="9"/>
      <c r="F131" s="9"/>
      <c r="G131" s="9"/>
      <c r="H131" s="14">
        <v>1244.8</v>
      </c>
      <c r="I131" s="14">
        <v>482.7</v>
      </c>
      <c r="J131" s="14">
        <v>-348.3</v>
      </c>
      <c r="K131" s="14">
        <v>-409.3</v>
      </c>
      <c r="L131" s="14">
        <v>-2175.3000000000002</v>
      </c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14" t="s">
        <v>126</v>
      </c>
      <c r="E132" s="9"/>
      <c r="F132" s="9"/>
      <c r="G132" s="9"/>
      <c r="H132" s="14">
        <v>-10.1</v>
      </c>
      <c r="I132" s="14">
        <v>-25.2</v>
      </c>
      <c r="J132" s="14"/>
      <c r="K132" s="14"/>
      <c r="L132" s="14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14" t="s">
        <v>104</v>
      </c>
      <c r="E133" s="9"/>
      <c r="F133" s="9"/>
      <c r="G133" s="9"/>
      <c r="H133" s="14"/>
      <c r="I133" s="14"/>
      <c r="J133" s="14">
        <v>351</v>
      </c>
      <c r="K133" s="14"/>
      <c r="L133" s="14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14" t="s">
        <v>127</v>
      </c>
      <c r="E134" s="9"/>
      <c r="F134" s="9"/>
      <c r="G134" s="9"/>
      <c r="H134" s="14">
        <v>427.5</v>
      </c>
      <c r="I134" s="14">
        <v>-4911.3999999999996</v>
      </c>
      <c r="J134" s="14">
        <v>-8937.9</v>
      </c>
      <c r="K134" s="14">
        <v>-11641.8</v>
      </c>
      <c r="L134" s="14">
        <v>4129.8</v>
      </c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 t="s">
        <v>128</v>
      </c>
      <c r="E135" s="9"/>
      <c r="F135" s="9"/>
      <c r="G135" s="9"/>
      <c r="H135" s="9">
        <v>1.2</v>
      </c>
      <c r="I135" s="9">
        <v>1.1000000000000001</v>
      </c>
      <c r="J135" s="9">
        <v>0.2</v>
      </c>
      <c r="K135" s="9">
        <v>1.9</v>
      </c>
      <c r="L135" s="9">
        <v>1.9</v>
      </c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14" t="s">
        <v>129</v>
      </c>
      <c r="E136" s="9"/>
      <c r="F136" s="9"/>
      <c r="G136" s="9"/>
      <c r="H136" s="14">
        <v>436.7</v>
      </c>
      <c r="I136" s="14">
        <v>509.2</v>
      </c>
      <c r="J136" s="14">
        <v>785.7</v>
      </c>
      <c r="K136" s="14">
        <v>977.7</v>
      </c>
      <c r="L136" s="14">
        <v>1469.1</v>
      </c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14" t="s">
        <v>130</v>
      </c>
      <c r="E137" s="9"/>
      <c r="F137" s="9"/>
      <c r="G137" s="9"/>
      <c r="H137" s="14">
        <v>5.3</v>
      </c>
      <c r="I137" s="14">
        <v>6.5</v>
      </c>
      <c r="J137" s="14">
        <v>8.4</v>
      </c>
      <c r="K137" s="14"/>
      <c r="L137" s="14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17" t="s">
        <v>131</v>
      </c>
      <c r="E138" s="18"/>
      <c r="F138" s="18"/>
      <c r="G138" s="18"/>
      <c r="H138" s="17">
        <v>-3163.9</v>
      </c>
      <c r="I138" s="17">
        <v>-7413.5</v>
      </c>
      <c r="J138" s="17">
        <v>-9985.4</v>
      </c>
      <c r="K138" s="17">
        <v>-14351.3</v>
      </c>
      <c r="L138" s="17">
        <v>1128.4000000000001</v>
      </c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14" t="s">
        <v>132</v>
      </c>
      <c r="E139" s="9"/>
      <c r="F139" s="9"/>
      <c r="G139" s="9"/>
      <c r="H139" s="14"/>
      <c r="I139" s="14"/>
      <c r="J139" s="14"/>
      <c r="K139" s="14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 t="s">
        <v>133</v>
      </c>
      <c r="E140" s="9"/>
      <c r="F140" s="9"/>
      <c r="G140" s="9"/>
      <c r="H140" s="9">
        <v>-70.599999999999994</v>
      </c>
      <c r="I140" s="9">
        <v>-1810.5</v>
      </c>
      <c r="J140" s="9">
        <v>-387.4</v>
      </c>
      <c r="K140" s="9">
        <v>-192.9</v>
      </c>
      <c r="L140" s="9">
        <v>-95</v>
      </c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14" t="s">
        <v>134</v>
      </c>
      <c r="E141" s="9"/>
      <c r="F141" s="9"/>
      <c r="G141" s="9"/>
      <c r="H141" s="14">
        <v>-986.7</v>
      </c>
      <c r="I141" s="14">
        <v>7841.2</v>
      </c>
      <c r="J141" s="14">
        <v>1784.2</v>
      </c>
      <c r="K141" s="14">
        <v>8820.7000000000007</v>
      </c>
      <c r="L141" s="14">
        <v>-12689.8</v>
      </c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14" t="s">
        <v>135</v>
      </c>
      <c r="E142" s="9"/>
      <c r="F142" s="9"/>
      <c r="G142" s="9"/>
      <c r="H142" s="14"/>
      <c r="I142" s="14"/>
      <c r="J142" s="14"/>
      <c r="K142" s="14"/>
      <c r="L142" s="14">
        <v>1614.8</v>
      </c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14" t="s">
        <v>136</v>
      </c>
      <c r="E143" s="9"/>
      <c r="F143" s="9"/>
      <c r="G143" s="9"/>
      <c r="H143" s="14">
        <v>-2185.8000000000002</v>
      </c>
      <c r="I143" s="14">
        <v>-4395.6000000000004</v>
      </c>
      <c r="J143" s="14">
        <v>-3347.8</v>
      </c>
      <c r="K143" s="14">
        <v>-4219.1000000000004</v>
      </c>
      <c r="L143" s="14">
        <v>-5295.2</v>
      </c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 t="s">
        <v>137</v>
      </c>
      <c r="E144" s="9"/>
      <c r="F144" s="9"/>
      <c r="G144" s="9"/>
      <c r="H144" s="9">
        <v>0</v>
      </c>
      <c r="I144" s="9">
        <v>-193</v>
      </c>
      <c r="J144" s="9">
        <v>-230.3</v>
      </c>
      <c r="K144" s="9">
        <v>-211.7</v>
      </c>
      <c r="L144" s="9">
        <v>-238.4</v>
      </c>
      <c r="M144" s="9"/>
      <c r="N144" s="9"/>
      <c r="O144" s="9"/>
      <c r="P144" s="9"/>
      <c r="Q144" s="9"/>
    </row>
    <row r="145" spans="1:19" x14ac:dyDescent="0.3">
      <c r="A145" s="9"/>
      <c r="B145" s="9"/>
      <c r="C145" s="9"/>
      <c r="D145" s="9" t="s">
        <v>138</v>
      </c>
      <c r="E145" s="9"/>
      <c r="F145" s="9"/>
      <c r="G145" s="9"/>
      <c r="H145" s="9">
        <v>-546.29999999999995</v>
      </c>
      <c r="I145" s="9">
        <v>-650.6</v>
      </c>
      <c r="J145" s="9">
        <v>-536.20000000000005</v>
      </c>
      <c r="K145" s="9">
        <v>-401.3</v>
      </c>
      <c r="L145" s="9">
        <v>-904.6</v>
      </c>
      <c r="M145" s="9"/>
      <c r="N145" s="9"/>
      <c r="O145" s="9"/>
      <c r="P145" s="9"/>
      <c r="Q145" s="9"/>
    </row>
    <row r="146" spans="1:19" x14ac:dyDescent="0.3">
      <c r="A146" s="9"/>
      <c r="B146" s="9"/>
      <c r="C146" s="9"/>
      <c r="D146" s="17" t="s">
        <v>139</v>
      </c>
      <c r="E146" s="18"/>
      <c r="F146" s="18"/>
      <c r="G146" s="18"/>
      <c r="H146" s="17">
        <v>-3789.4</v>
      </c>
      <c r="I146" s="17">
        <v>791.5</v>
      </c>
      <c r="J146" s="17">
        <v>2717.5</v>
      </c>
      <c r="K146" s="17">
        <v>3795.7</v>
      </c>
      <c r="L146" s="17">
        <v>-17608.2</v>
      </c>
      <c r="M146" s="9"/>
      <c r="N146" s="9"/>
      <c r="O146" s="9"/>
      <c r="P146" s="9"/>
      <c r="Q146" s="9"/>
    </row>
    <row r="147" spans="1:19" x14ac:dyDescent="0.3">
      <c r="A147" s="9"/>
      <c r="B147" s="9"/>
      <c r="C147" s="9"/>
      <c r="D147" s="9" t="s">
        <v>140</v>
      </c>
      <c r="E147" s="9"/>
      <c r="F147" s="9"/>
      <c r="G147" s="9"/>
      <c r="H147" s="9">
        <v>843.2</v>
      </c>
      <c r="I147" s="9">
        <v>-771.2</v>
      </c>
      <c r="J147" s="9">
        <v>-53.9</v>
      </c>
      <c r="K147" s="9">
        <v>554.6</v>
      </c>
      <c r="L147" s="9">
        <v>345.2</v>
      </c>
      <c r="M147" s="9"/>
      <c r="N147" s="9"/>
      <c r="O147" s="9"/>
      <c r="P147" s="9"/>
      <c r="Q147" s="9"/>
    </row>
    <row r="148" spans="1:19" x14ac:dyDescent="0.3">
      <c r="A148" s="9"/>
      <c r="B148" s="9"/>
      <c r="C148" s="9"/>
      <c r="D148" s="15" t="s">
        <v>141</v>
      </c>
      <c r="E148" s="9"/>
      <c r="F148" s="9"/>
      <c r="G148" s="9"/>
      <c r="H148" s="15">
        <v>1667.1</v>
      </c>
      <c r="I148" s="15">
        <v>2490.5</v>
      </c>
      <c r="J148" s="15">
        <v>1759.4</v>
      </c>
      <c r="K148" s="15">
        <v>1742.2</v>
      </c>
      <c r="L148" s="15">
        <v>2321.8000000000002</v>
      </c>
      <c r="M148" s="9"/>
      <c r="N148" s="9"/>
      <c r="O148" s="9"/>
      <c r="P148" s="9"/>
      <c r="Q148" s="9"/>
    </row>
    <row r="149" spans="1:19" x14ac:dyDescent="0.3">
      <c r="A149" s="9"/>
      <c r="B149" s="9"/>
      <c r="C149" s="9"/>
      <c r="D149" s="10" t="s">
        <v>142</v>
      </c>
      <c r="E149" s="9"/>
      <c r="F149" s="9"/>
      <c r="G149" s="9"/>
      <c r="H149" s="10">
        <v>-19.8</v>
      </c>
      <c r="I149" s="10">
        <v>40.1</v>
      </c>
      <c r="J149" s="10">
        <v>36.700000000000003</v>
      </c>
      <c r="K149" s="10">
        <v>25</v>
      </c>
      <c r="L149" s="10">
        <v>71</v>
      </c>
      <c r="M149" s="9"/>
      <c r="N149" s="9"/>
      <c r="O149" s="9"/>
      <c r="P149" s="9"/>
      <c r="Q149" s="9"/>
    </row>
    <row r="150" spans="1:19" x14ac:dyDescent="0.3">
      <c r="A150" s="9"/>
      <c r="B150" s="9"/>
      <c r="C150" s="9"/>
      <c r="D150" s="15" t="s">
        <v>143</v>
      </c>
      <c r="E150" s="9"/>
      <c r="F150" s="9"/>
      <c r="G150" s="9"/>
      <c r="H150" s="15">
        <v>2490.5</v>
      </c>
      <c r="I150" s="15">
        <v>1759.4</v>
      </c>
      <c r="J150" s="15">
        <v>1742.2</v>
      </c>
      <c r="K150" s="15">
        <v>2321.8000000000002</v>
      </c>
      <c r="L150" s="15">
        <v>2738</v>
      </c>
      <c r="M150" s="9"/>
      <c r="N150" s="9"/>
      <c r="O150" s="9"/>
      <c r="P150" s="9"/>
      <c r="Q150" s="9"/>
    </row>
    <row r="151" spans="1:19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9" x14ac:dyDescent="0.3">
      <c r="A152" s="7" t="s">
        <v>144</v>
      </c>
      <c r="B152" s="8"/>
      <c r="C152" s="8"/>
      <c r="D152" s="8"/>
      <c r="E152" s="8"/>
      <c r="F152" s="8"/>
      <c r="G152" s="8"/>
      <c r="H152" s="8"/>
      <c r="I152" s="7">
        <v>2019</v>
      </c>
      <c r="J152" s="7">
        <v>2020</v>
      </c>
      <c r="K152" s="7">
        <v>2021</v>
      </c>
      <c r="L152" s="7">
        <v>2022</v>
      </c>
      <c r="M152" s="7">
        <v>2023</v>
      </c>
      <c r="N152" s="71" t="s">
        <v>254</v>
      </c>
      <c r="O152" s="72" t="s">
        <v>253</v>
      </c>
      <c r="P152" s="9"/>
      <c r="Q152" s="9"/>
    </row>
    <row r="153" spans="1:19" x14ac:dyDescent="0.3">
      <c r="A153" s="9"/>
      <c r="B153" s="9"/>
      <c r="C153" s="9"/>
      <c r="D153" s="3" t="s">
        <v>145</v>
      </c>
      <c r="G153" s="9"/>
      <c r="H153" s="9"/>
      <c r="I153" s="9"/>
      <c r="J153" s="9"/>
      <c r="K153" s="3">
        <v>58208.6</v>
      </c>
      <c r="L153" s="3">
        <v>75266.400000000009</v>
      </c>
      <c r="M153" s="3">
        <v>81599.7</v>
      </c>
      <c r="N153" s="69">
        <f>_xlfn.RRI(2,K153,M153)</f>
        <v>0.18399727823875112</v>
      </c>
      <c r="O153" s="68">
        <f>M153*(1+N153)</f>
        <v>96613.822705098617</v>
      </c>
      <c r="P153" s="9"/>
      <c r="Q153" s="9"/>
    </row>
    <row r="154" spans="1:19" x14ac:dyDescent="0.3">
      <c r="A154" s="9"/>
      <c r="B154" s="9"/>
      <c r="C154" s="9"/>
      <c r="D154" s="3" t="s">
        <v>146</v>
      </c>
      <c r="G154" s="9"/>
      <c r="H154" s="9"/>
      <c r="I154" s="9"/>
      <c r="J154" s="9"/>
      <c r="K154" s="3">
        <v>24665.5</v>
      </c>
      <c r="L154" s="3">
        <v>23290.7</v>
      </c>
      <c r="M154" s="3">
        <v>25133.5</v>
      </c>
      <c r="N154" s="69">
        <f>_xlfn.RRI(2,K154,M154)</f>
        <v>9.4423561480674323E-3</v>
      </c>
      <c r="O154" s="68">
        <f>M154*(1+N154)</f>
        <v>25370.819458247453</v>
      </c>
      <c r="P154" s="9"/>
      <c r="Q154" s="9"/>
    </row>
    <row r="155" spans="1:19" x14ac:dyDescent="0.3">
      <c r="A155" s="9"/>
      <c r="B155" s="9"/>
      <c r="C155" s="9"/>
      <c r="D155" s="3" t="s">
        <v>147</v>
      </c>
      <c r="G155" s="9"/>
      <c r="H155" s="9"/>
      <c r="I155" s="9"/>
      <c r="J155" s="9"/>
      <c r="K155" s="3">
        <v>5776</v>
      </c>
      <c r="L155" s="3">
        <v>7784.8</v>
      </c>
      <c r="M155" s="3">
        <v>9259.4000000000015</v>
      </c>
      <c r="N155" s="69">
        <f>_xlfn.RRI(2,K155,M155)</f>
        <v>0.26612863384867969</v>
      </c>
      <c r="O155" s="68">
        <f>M155*(1+N155)</f>
        <v>11723.591472258466</v>
      </c>
      <c r="P155" s="9"/>
      <c r="Q155" s="9"/>
    </row>
    <row r="156" spans="1:19" ht="15" thickBot="1" x14ac:dyDescent="0.35">
      <c r="A156" s="9"/>
      <c r="B156" s="9"/>
      <c r="C156" s="9"/>
      <c r="G156" s="9"/>
      <c r="H156" s="9"/>
      <c r="I156" s="19"/>
      <c r="J156" s="19"/>
      <c r="K156" s="19">
        <f>SUM(K153:K155)</f>
        <v>88650.1</v>
      </c>
      <c r="L156" s="19">
        <f>SUM(L153:L155)</f>
        <v>106341.90000000001</v>
      </c>
      <c r="M156" s="19">
        <f>SUM(M153:M155)</f>
        <v>115992.6</v>
      </c>
      <c r="N156" s="70"/>
      <c r="O156" s="19">
        <f>SUM(O153:O155)</f>
        <v>133708.23363560453</v>
      </c>
      <c r="P156" s="9"/>
      <c r="Q156" s="9"/>
    </row>
    <row r="157" spans="1:19" ht="15" thickTop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9" x14ac:dyDescent="0.3">
      <c r="A158" s="7" t="s">
        <v>148</v>
      </c>
      <c r="B158" s="8"/>
      <c r="C158" s="8"/>
      <c r="D158" s="8"/>
      <c r="E158" s="8"/>
      <c r="F158" s="8"/>
      <c r="G158" s="8"/>
      <c r="H158" s="20">
        <v>44469</v>
      </c>
      <c r="I158" s="20">
        <v>44561</v>
      </c>
      <c r="J158" s="20">
        <v>44651</v>
      </c>
      <c r="K158" s="20">
        <v>44742</v>
      </c>
      <c r="L158" s="20">
        <v>44834</v>
      </c>
      <c r="M158" s="20">
        <v>44926</v>
      </c>
      <c r="N158" s="20">
        <v>45016</v>
      </c>
      <c r="O158" s="20">
        <v>45107</v>
      </c>
      <c r="P158" s="20">
        <v>45199</v>
      </c>
      <c r="Q158" s="20">
        <v>45291</v>
      </c>
      <c r="R158" s="20" t="s">
        <v>252</v>
      </c>
      <c r="S158" s="64" t="s">
        <v>253</v>
      </c>
    </row>
    <row r="159" spans="1:19" x14ac:dyDescent="0.3">
      <c r="A159" s="9"/>
      <c r="B159" s="9"/>
      <c r="C159" s="9"/>
      <c r="D159" s="9" t="s">
        <v>149</v>
      </c>
      <c r="E159" s="9"/>
      <c r="F159" s="9"/>
      <c r="G159" s="9"/>
      <c r="H159" s="3">
        <v>27999.899999999998</v>
      </c>
      <c r="I159" s="3">
        <v>26189.8</v>
      </c>
      <c r="J159" s="3">
        <v>24838.600000000002</v>
      </c>
      <c r="K159" s="3">
        <v>25763.800000000003</v>
      </c>
      <c r="L159" s="3">
        <v>30793.699999999997</v>
      </c>
      <c r="M159" s="3">
        <v>30409.1</v>
      </c>
      <c r="N159" s="3">
        <v>29026</v>
      </c>
      <c r="O159" s="3">
        <v>29677.199999999997</v>
      </c>
      <c r="P159" s="3">
        <v>34401.699999999997</v>
      </c>
      <c r="Q159" s="3">
        <v>33238.699999999997</v>
      </c>
      <c r="R159" s="3">
        <f>N159*1.12</f>
        <v>32509.120000000003</v>
      </c>
      <c r="S159" s="3">
        <f>SUM(O159:R159)</f>
        <v>129826.72</v>
      </c>
    </row>
    <row r="160" spans="1:19" x14ac:dyDescent="0.3">
      <c r="A160" s="9"/>
      <c r="B160" s="9"/>
      <c r="C160" s="9"/>
      <c r="D160" s="66" t="s">
        <v>251</v>
      </c>
      <c r="E160" s="9"/>
      <c r="F160" s="9"/>
      <c r="G160" s="9"/>
      <c r="O160" s="67">
        <f>O159/K159-1</f>
        <v>0.15189529494872622</v>
      </c>
      <c r="P160" s="67">
        <f>P159/L159-1</f>
        <v>0.11716682308394244</v>
      </c>
      <c r="Q160" s="67">
        <f>Q159/M159-1</f>
        <v>9.3051093258267992E-2</v>
      </c>
    </row>
    <row r="161" spans="1:17" x14ac:dyDescent="0.3">
      <c r="A161" s="9"/>
      <c r="B161" s="9"/>
      <c r="C161" s="9"/>
      <c r="D161" s="9" t="s">
        <v>8</v>
      </c>
      <c r="E161" s="9"/>
      <c r="F161" s="9"/>
      <c r="G161" s="9"/>
      <c r="H161" s="3">
        <v>21756.100000000002</v>
      </c>
      <c r="I161" s="3">
        <v>21205.300000000003</v>
      </c>
      <c r="J161" s="3">
        <v>21466.300000000003</v>
      </c>
      <c r="K161" s="3">
        <v>23731.399999999998</v>
      </c>
      <c r="L161" s="3">
        <v>26254.6</v>
      </c>
      <c r="M161" s="3">
        <v>24418.600000000002</v>
      </c>
      <c r="N161" s="3">
        <v>25493.5</v>
      </c>
      <c r="O161" s="3">
        <v>25785.300000000003</v>
      </c>
      <c r="P161" s="3">
        <v>26934.400000000001</v>
      </c>
      <c r="Q161" s="3">
        <v>26162.800000000003</v>
      </c>
    </row>
    <row r="162" spans="1:17" x14ac:dyDescent="0.3">
      <c r="A162" s="9"/>
      <c r="B162" s="9"/>
      <c r="C162" s="9"/>
      <c r="D162" s="9" t="s">
        <v>150</v>
      </c>
      <c r="E162" s="9"/>
      <c r="F162" s="9"/>
      <c r="G162" s="9"/>
      <c r="H162" s="3">
        <v>6243.8</v>
      </c>
      <c r="I162" s="3">
        <v>4984.5</v>
      </c>
      <c r="J162" s="3">
        <v>3372.3</v>
      </c>
      <c r="K162" s="3">
        <v>2032.4</v>
      </c>
      <c r="L162" s="3">
        <v>4539.1000000000004</v>
      </c>
      <c r="M162" s="3">
        <v>5990.5</v>
      </c>
      <c r="N162" s="3">
        <v>3532.5</v>
      </c>
      <c r="O162" s="3">
        <v>3891.9</v>
      </c>
      <c r="P162" s="3">
        <v>7467.3</v>
      </c>
      <c r="Q162" s="3">
        <v>7075.9000000000005</v>
      </c>
    </row>
    <row r="163" spans="1:17" x14ac:dyDescent="0.3">
      <c r="A163" s="9"/>
      <c r="B163" s="9"/>
      <c r="C163" s="9"/>
      <c r="D163" s="9" t="s">
        <v>19</v>
      </c>
      <c r="E163" s="9"/>
      <c r="F163" s="9"/>
      <c r="G163" s="9"/>
      <c r="H163" s="3">
        <v>419.6</v>
      </c>
      <c r="I163" s="3">
        <v>535.20000000000005</v>
      </c>
      <c r="J163" s="3">
        <v>55.599999999999994</v>
      </c>
      <c r="K163" s="3">
        <v>514.09999999999991</v>
      </c>
      <c r="L163" s="3">
        <v>506.70000000000005</v>
      </c>
      <c r="M163" s="3">
        <v>453.29999999999995</v>
      </c>
      <c r="N163" s="3">
        <v>-343.1</v>
      </c>
      <c r="O163" s="3">
        <v>658.40000000000009</v>
      </c>
      <c r="P163" s="3">
        <v>55.300000000000004</v>
      </c>
      <c r="Q163" s="3">
        <v>423.29999999999995</v>
      </c>
    </row>
    <row r="164" spans="1:17" x14ac:dyDescent="0.3">
      <c r="A164" s="9"/>
      <c r="B164" s="9"/>
      <c r="C164" s="9"/>
      <c r="D164" s="9" t="s">
        <v>151</v>
      </c>
      <c r="E164" s="9"/>
      <c r="F164" s="9"/>
      <c r="G164" s="9"/>
      <c r="H164" s="3">
        <v>728.3</v>
      </c>
      <c r="I164" s="3">
        <v>774.59999999999991</v>
      </c>
      <c r="J164" s="3">
        <v>831.4</v>
      </c>
      <c r="K164" s="3">
        <v>762.6</v>
      </c>
      <c r="L164" s="3">
        <v>774</v>
      </c>
      <c r="M164" s="3">
        <v>784.4</v>
      </c>
      <c r="N164" s="3">
        <v>783.19999999999993</v>
      </c>
      <c r="O164" s="3">
        <v>724.09999999999991</v>
      </c>
      <c r="P164" s="3">
        <v>739</v>
      </c>
      <c r="Q164" s="3">
        <v>695.6</v>
      </c>
    </row>
    <row r="165" spans="1:17" x14ac:dyDescent="0.3">
      <c r="A165" s="9"/>
      <c r="B165" s="9"/>
      <c r="C165" s="9"/>
      <c r="D165" s="9" t="s">
        <v>152</v>
      </c>
      <c r="E165" s="9"/>
      <c r="F165" s="9"/>
      <c r="G165" s="9"/>
      <c r="H165" s="3">
        <v>119.7</v>
      </c>
      <c r="I165" s="3">
        <v>105.7</v>
      </c>
      <c r="J165" s="3">
        <v>169.7</v>
      </c>
      <c r="K165" s="3">
        <v>265</v>
      </c>
      <c r="L165" s="3">
        <v>248.5</v>
      </c>
      <c r="M165" s="3">
        <v>270.5</v>
      </c>
      <c r="N165" s="3">
        <v>289.60000000000002</v>
      </c>
      <c r="O165" s="3">
        <v>297.7</v>
      </c>
      <c r="P165" s="3">
        <v>303.2</v>
      </c>
      <c r="Q165" s="3">
        <v>254.60000000000002</v>
      </c>
    </row>
    <row r="166" spans="1:17" x14ac:dyDescent="0.3">
      <c r="A166" s="9"/>
      <c r="B166" s="9"/>
      <c r="C166" s="9"/>
      <c r="D166" s="9" t="s">
        <v>93</v>
      </c>
      <c r="E166" s="9"/>
      <c r="F166" s="9"/>
      <c r="G166" s="9"/>
      <c r="H166" s="3">
        <v>5815.4</v>
      </c>
      <c r="I166" s="3">
        <v>4639.3999999999996</v>
      </c>
      <c r="J166" s="3">
        <v>2426.8000000000002</v>
      </c>
      <c r="K166" s="3">
        <v>1518.8999999999999</v>
      </c>
      <c r="L166" s="3">
        <v>4023.2999999999997</v>
      </c>
      <c r="M166" s="3">
        <v>5388.9</v>
      </c>
      <c r="N166" s="3">
        <v>2116.6</v>
      </c>
      <c r="O166" s="3">
        <v>3528.5</v>
      </c>
      <c r="P166" s="3">
        <v>6480.4</v>
      </c>
      <c r="Q166" s="3">
        <v>6549</v>
      </c>
    </row>
    <row r="167" spans="1:17" x14ac:dyDescent="0.3">
      <c r="A167" s="9"/>
      <c r="B167" s="9"/>
      <c r="C167" s="9"/>
      <c r="D167" s="9" t="s">
        <v>153</v>
      </c>
      <c r="E167" s="9"/>
      <c r="F167" s="9"/>
      <c r="G167" s="9"/>
      <c r="H167" s="3">
        <v>230.10000000000002</v>
      </c>
      <c r="I167" s="3">
        <v>-694.09999999999991</v>
      </c>
      <c r="J167" s="3">
        <v>1344.7</v>
      </c>
      <c r="K167" s="3">
        <v>204.4</v>
      </c>
      <c r="L167" s="3">
        <v>546.1</v>
      </c>
      <c r="M167" s="3">
        <v>789.30000000000007</v>
      </c>
      <c r="N167" s="3">
        <v>1439.8</v>
      </c>
      <c r="O167" s="3">
        <v>650.40000000000009</v>
      </c>
      <c r="P167" s="3">
        <v>331.5</v>
      </c>
      <c r="Q167" s="3">
        <v>506.2</v>
      </c>
    </row>
    <row r="168" spans="1:17" x14ac:dyDescent="0.3">
      <c r="A168" s="9"/>
      <c r="B168" s="9"/>
      <c r="C168" s="9"/>
      <c r="D168" s="9" t="s">
        <v>154</v>
      </c>
      <c r="E168" s="9"/>
      <c r="F168" s="9"/>
      <c r="G168" s="9"/>
      <c r="H168" s="3">
        <v>5442.6</v>
      </c>
      <c r="I168" s="3">
        <v>5256.5999999999995</v>
      </c>
      <c r="J168" s="3">
        <v>1075.8</v>
      </c>
      <c r="K168" s="3">
        <v>1276.4000000000001</v>
      </c>
      <c r="L168" s="3">
        <v>3308.3999999999996</v>
      </c>
      <c r="M168" s="3">
        <v>4547.0999999999995</v>
      </c>
      <c r="N168" s="3">
        <v>709.80000000000007</v>
      </c>
      <c r="O168" s="3">
        <v>2867.3</v>
      </c>
      <c r="P168" s="3">
        <v>6205.2</v>
      </c>
      <c r="Q168" s="3">
        <v>5949.6</v>
      </c>
    </row>
  </sheetData>
  <mergeCells count="2">
    <mergeCell ref="O15:O16"/>
    <mergeCell ref="O10:O12"/>
  </mergeCells>
  <pageMargins left="0.7" right="0.7" top="0.75" bottom="0.75" header="0.3" footer="0.3"/>
  <ignoredErrors>
    <ignoredError sqref="K156:M15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6C46-1BED-4501-A1C2-458EFAF9A24C}">
  <dimension ref="A1:X192"/>
  <sheetViews>
    <sheetView showGridLines="0" zoomScale="86" zoomScaleNormal="100" workbookViewId="0">
      <pane xSplit="6" ySplit="3" topLeftCell="G156" activePane="bottomRight" state="frozen"/>
      <selection pane="topRight"/>
      <selection pane="bottomLeft"/>
      <selection pane="bottomRight" activeCell="D163" sqref="D163"/>
    </sheetView>
  </sheetViews>
  <sheetFormatPr defaultColWidth="11.6640625" defaultRowHeight="14.4" outlineLevelRow="1" x14ac:dyDescent="0.3"/>
  <cols>
    <col min="1" max="3" width="1.21875" style="3" customWidth="1"/>
    <col min="4" max="4" width="40.6640625" style="3" customWidth="1"/>
    <col min="5" max="5" width="21.109375" style="3" customWidth="1"/>
    <col min="6" max="6" width="12.6640625" style="3" customWidth="1"/>
    <col min="7" max="7" width="2.6640625" style="3" customWidth="1"/>
    <col min="8" max="9" width="11.6640625" style="3"/>
    <col min="10" max="10" width="12.44140625" style="3" customWidth="1"/>
    <col min="11" max="12" width="11.6640625" style="3"/>
    <col min="13" max="13" width="11.6640625" style="3" customWidth="1"/>
    <col min="14" max="17" width="11.6640625" style="3"/>
    <col min="18" max="18" width="13.44140625" style="3" bestFit="1" customWidth="1"/>
    <col min="19" max="16384" width="11.6640625" style="3"/>
  </cols>
  <sheetData>
    <row r="1" spans="1:17" ht="32.4" x14ac:dyDescent="0.6">
      <c r="A1" s="1" t="str">
        <f>Index!A1</f>
        <v>Alkem Laboratories Limited</v>
      </c>
      <c r="B1" s="2"/>
      <c r="C1" s="2"/>
      <c r="D1" s="2"/>
      <c r="E1" s="2"/>
      <c r="F1" s="2"/>
      <c r="G1" s="2"/>
      <c r="H1" s="24" t="s">
        <v>156</v>
      </c>
      <c r="I1" s="25"/>
      <c r="J1" s="25"/>
      <c r="K1" s="25"/>
      <c r="L1" s="25"/>
      <c r="M1" s="27" t="s">
        <v>157</v>
      </c>
      <c r="N1" s="26"/>
      <c r="O1" s="26"/>
      <c r="P1" s="26"/>
      <c r="Q1" s="26"/>
    </row>
    <row r="2" spans="1:17" ht="15.6" x14ac:dyDescent="0.3">
      <c r="A2" s="4" t="s">
        <v>155</v>
      </c>
      <c r="B2" s="2"/>
      <c r="C2" s="2"/>
      <c r="D2" s="2"/>
      <c r="E2" s="2"/>
      <c r="F2" s="2"/>
      <c r="G2" s="2"/>
      <c r="H2" s="23">
        <f>Historical!H4</f>
        <v>2019</v>
      </c>
      <c r="I2" s="23">
        <f>Historical!I4</f>
        <v>2020</v>
      </c>
      <c r="J2" s="23">
        <f>Historical!J4</f>
        <v>2021</v>
      </c>
      <c r="K2" s="23">
        <f>Historical!K4</f>
        <v>2022</v>
      </c>
      <c r="L2" s="23">
        <f>Historical!L4</f>
        <v>2023</v>
      </c>
      <c r="M2" s="22">
        <f t="shared" ref="M2:Q2" si="0">L2+1</f>
        <v>2024</v>
      </c>
      <c r="N2" s="21">
        <f t="shared" si="0"/>
        <v>2025</v>
      </c>
      <c r="O2" s="21">
        <f t="shared" si="0"/>
        <v>2026</v>
      </c>
      <c r="P2" s="21">
        <f t="shared" si="0"/>
        <v>2027</v>
      </c>
      <c r="Q2" s="21">
        <f t="shared" si="0"/>
        <v>2028</v>
      </c>
    </row>
    <row r="3" spans="1:17" s="49" customFormat="1" ht="15.6" x14ac:dyDescent="0.3">
      <c r="A3" s="48"/>
      <c r="D3" s="49" t="s">
        <v>198</v>
      </c>
      <c r="H3" s="74" t="str">
        <f t="shared" ref="H3:Q3" si="1">IFERROR(IF(ABS(H72)&gt;1,"ERROR","OK"),"OK")</f>
        <v>OK</v>
      </c>
      <c r="I3" s="74" t="str">
        <f t="shared" si="1"/>
        <v>OK</v>
      </c>
      <c r="J3" s="74" t="str">
        <f t="shared" si="1"/>
        <v>OK</v>
      </c>
      <c r="K3" s="74" t="str">
        <f t="shared" si="1"/>
        <v>OK</v>
      </c>
      <c r="L3" s="74" t="str">
        <f t="shared" si="1"/>
        <v>OK</v>
      </c>
      <c r="M3" s="74" t="str">
        <f t="shared" si="1"/>
        <v>OK</v>
      </c>
      <c r="N3" s="74" t="str">
        <f t="shared" si="1"/>
        <v>OK</v>
      </c>
      <c r="O3" s="74" t="str">
        <f t="shared" si="1"/>
        <v>OK</v>
      </c>
      <c r="P3" s="74" t="str">
        <f t="shared" si="1"/>
        <v>OK</v>
      </c>
      <c r="Q3" s="74" t="str">
        <f t="shared" si="1"/>
        <v>OK</v>
      </c>
    </row>
    <row r="5" spans="1:17" ht="21" x14ac:dyDescent="0.4">
      <c r="A5" s="28" t="s">
        <v>231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outlineLevel="1" x14ac:dyDescent="0.3"/>
    <row r="7" spans="1:17" outlineLevel="1" x14ac:dyDescent="0.3">
      <c r="D7" s="64" t="s">
        <v>250</v>
      </c>
      <c r="E7" s="65" t="s">
        <v>245</v>
      </c>
      <c r="F7" s="64" t="s">
        <v>0</v>
      </c>
      <c r="G7" s="273">
        <f>IF(E7=Scenarios!D5,1,IF(Model!E7=Scenarios!D6,2,3))</f>
        <v>1</v>
      </c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outlineLevel="1" x14ac:dyDescent="0.3">
      <c r="D8" s="3" t="s">
        <v>232</v>
      </c>
      <c r="F8" s="3" t="s">
        <v>233</v>
      </c>
      <c r="H8" s="3" t="s">
        <v>76</v>
      </c>
      <c r="I8" s="56">
        <f t="shared" ref="I8:L8" si="2">I25/H25-1</f>
        <v>0.13417758682323022</v>
      </c>
      <c r="J8" s="56">
        <f t="shared" si="2"/>
        <v>6.2395438355967281E-2</v>
      </c>
      <c r="K8" s="56">
        <f t="shared" si="2"/>
        <v>0.19956886681458896</v>
      </c>
      <c r="L8" s="56">
        <f t="shared" si="2"/>
        <v>9.0751622831640288E-2</v>
      </c>
      <c r="M8" s="56">
        <f t="array" ref="M8:Q8">CHOOSE(G7,Scenarios!H5:L5,Scenarios!H6:L6,Scenarios!H7:L7)</f>
        <v>0.12172337870635669</v>
      </c>
      <c r="N8" s="56">
        <v>0.10346487190040318</v>
      </c>
      <c r="O8" s="56">
        <v>8.7945141115342698E-2</v>
      </c>
      <c r="P8" s="56">
        <v>7.4753369948041298E-2</v>
      </c>
      <c r="Q8" s="56">
        <v>6.3540364455835108E-2</v>
      </c>
    </row>
    <row r="9" spans="1:17" outlineLevel="1" x14ac:dyDescent="0.3">
      <c r="D9" s="3" t="s">
        <v>234</v>
      </c>
      <c r="F9" s="3" t="s">
        <v>233</v>
      </c>
      <c r="H9" s="56">
        <f t="shared" ref="H9:L9" si="3">-H26/H25</f>
        <v>0.40028461953544775</v>
      </c>
      <c r="I9" s="56">
        <f t="shared" si="3"/>
        <v>0.40086237890023918</v>
      </c>
      <c r="J9" s="56">
        <f t="shared" si="3"/>
        <v>0.39463689268258012</v>
      </c>
      <c r="K9" s="56">
        <f t="shared" si="3"/>
        <v>0.39309905126765649</v>
      </c>
      <c r="L9" s="56">
        <f t="shared" si="3"/>
        <v>0.42303043470014462</v>
      </c>
      <c r="M9" s="56">
        <f>AVERAGE(H9:L9)</f>
        <v>0.40238267541721362</v>
      </c>
      <c r="N9" s="56">
        <f t="shared" ref="N9:Q9" si="4">M9</f>
        <v>0.40238267541721362</v>
      </c>
      <c r="O9" s="56">
        <f t="shared" si="4"/>
        <v>0.40238267541721362</v>
      </c>
      <c r="P9" s="56">
        <f t="shared" si="4"/>
        <v>0.40238267541721362</v>
      </c>
      <c r="Q9" s="56">
        <f t="shared" si="4"/>
        <v>0.40238267541721362</v>
      </c>
    </row>
    <row r="10" spans="1:17" outlineLevel="1" x14ac:dyDescent="0.3">
      <c r="D10" s="3" t="s">
        <v>235</v>
      </c>
      <c r="F10" s="3" t="s">
        <v>233</v>
      </c>
      <c r="H10" s="56">
        <f t="shared" ref="H10:L10" si="5">-H29/H25</f>
        <v>0.18518755122539993</v>
      </c>
      <c r="I10" s="56">
        <f t="shared" si="5"/>
        <v>0.180420068165803</v>
      </c>
      <c r="J10" s="56">
        <f t="shared" si="5"/>
        <v>0.18285709773593034</v>
      </c>
      <c r="K10" s="56">
        <f t="shared" si="5"/>
        <v>0.18456600831845207</v>
      </c>
      <c r="L10" s="56">
        <f t="shared" si="5"/>
        <v>0.18374879087114177</v>
      </c>
      <c r="M10" s="56">
        <f t="shared" ref="M10:M19" si="6">AVERAGE(H10:L10)</f>
        <v>0.18335590326334544</v>
      </c>
      <c r="N10" s="56">
        <f t="shared" ref="N10:Q10" si="7">M10</f>
        <v>0.18335590326334544</v>
      </c>
      <c r="O10" s="56">
        <f t="shared" si="7"/>
        <v>0.18335590326334544</v>
      </c>
      <c r="P10" s="56">
        <f t="shared" si="7"/>
        <v>0.18335590326334544</v>
      </c>
      <c r="Q10" s="56">
        <f t="shared" si="7"/>
        <v>0.18335590326334544</v>
      </c>
    </row>
    <row r="11" spans="1:17" outlineLevel="1" x14ac:dyDescent="0.3">
      <c r="D11" s="3" t="s">
        <v>236</v>
      </c>
      <c r="F11" s="3" t="s">
        <v>233</v>
      </c>
      <c r="H11" s="56">
        <f t="shared" ref="H11:L11" si="8">-H30/H25</f>
        <v>0.26300666422914187</v>
      </c>
      <c r="I11" s="56">
        <f t="shared" si="8"/>
        <v>0.24214439453714845</v>
      </c>
      <c r="J11" s="56">
        <f t="shared" si="8"/>
        <v>0.20339852972529077</v>
      </c>
      <c r="K11" s="56">
        <f t="shared" si="8"/>
        <v>0.22928591646378335</v>
      </c>
      <c r="L11" s="56">
        <f t="shared" si="8"/>
        <v>0.25446623319073802</v>
      </c>
      <c r="M11" s="56">
        <f t="shared" si="6"/>
        <v>0.2384603476292205</v>
      </c>
      <c r="N11" s="56">
        <f t="shared" ref="N11:Q11" si="9">M11</f>
        <v>0.2384603476292205</v>
      </c>
      <c r="O11" s="56">
        <f t="shared" si="9"/>
        <v>0.2384603476292205</v>
      </c>
      <c r="P11" s="56">
        <f t="shared" si="9"/>
        <v>0.2384603476292205</v>
      </c>
      <c r="Q11" s="56">
        <f t="shared" si="9"/>
        <v>0.2384603476292205</v>
      </c>
    </row>
    <row r="12" spans="1:17" outlineLevel="1" x14ac:dyDescent="0.3">
      <c r="D12" s="268" t="s">
        <v>237</v>
      </c>
      <c r="E12" s="268"/>
      <c r="F12" s="3" t="s">
        <v>233</v>
      </c>
      <c r="H12" s="56" t="s">
        <v>76</v>
      </c>
      <c r="I12" s="56">
        <f>-I32/I116</f>
        <v>9.563953928349804E-2</v>
      </c>
      <c r="J12" s="56">
        <f>-J32/J116</f>
        <v>9.5588209696678528E-2</v>
      </c>
      <c r="K12" s="56">
        <f>-K32/K116</f>
        <v>0.10891227466703932</v>
      </c>
      <c r="L12" s="56">
        <f>-L32/L116</f>
        <v>0.10937522021619944</v>
      </c>
      <c r="M12" s="56">
        <f t="shared" si="6"/>
        <v>0.10237881096585384</v>
      </c>
      <c r="N12" s="56">
        <f t="shared" ref="N12:Q12" si="10">M12</f>
        <v>0.10237881096585384</v>
      </c>
      <c r="O12" s="56">
        <f t="shared" si="10"/>
        <v>0.10237881096585384</v>
      </c>
      <c r="P12" s="56">
        <f t="shared" si="10"/>
        <v>0.10237881096585384</v>
      </c>
      <c r="Q12" s="56">
        <f t="shared" si="10"/>
        <v>0.10237881096585384</v>
      </c>
    </row>
    <row r="13" spans="1:17" outlineLevel="1" x14ac:dyDescent="0.3">
      <c r="D13" s="3" t="s">
        <v>238</v>
      </c>
      <c r="F13" s="3" t="s">
        <v>233</v>
      </c>
      <c r="H13" s="56" t="s">
        <v>76</v>
      </c>
      <c r="I13" s="56">
        <f>-I34/I122</f>
        <v>7.2083051730059716E-2</v>
      </c>
      <c r="J13" s="56">
        <f>-J34/J122</f>
        <v>3.5435272891294542E-2</v>
      </c>
      <c r="K13" s="56">
        <f>-K34/K122</f>
        <v>2.9224656525184436E-2</v>
      </c>
      <c r="L13" s="56">
        <f>-L34/L122</f>
        <v>4.0237014605406657E-2</v>
      </c>
      <c r="M13" s="276">
        <f t="shared" si="6"/>
        <v>4.4244998937986335E-2</v>
      </c>
      <c r="N13" s="56">
        <f t="shared" ref="N13:Q13" si="11">M13</f>
        <v>4.4244998937986335E-2</v>
      </c>
      <c r="O13" s="56">
        <f t="shared" si="11"/>
        <v>4.4244998937986335E-2</v>
      </c>
      <c r="P13" s="56">
        <f t="shared" si="11"/>
        <v>4.4244998937986335E-2</v>
      </c>
      <c r="Q13" s="56">
        <f t="shared" si="11"/>
        <v>4.4244998937986335E-2</v>
      </c>
    </row>
    <row r="14" spans="1:17" outlineLevel="1" x14ac:dyDescent="0.3">
      <c r="D14" s="3" t="s">
        <v>239</v>
      </c>
      <c r="F14" s="3" t="s">
        <v>233</v>
      </c>
      <c r="H14" s="56">
        <f t="shared" ref="H14:L14" si="12">H35/H25</f>
        <v>1.1920311966933028E-2</v>
      </c>
      <c r="I14" s="56">
        <f t="shared" si="12"/>
        <v>1.2489873399517758E-2</v>
      </c>
      <c r="J14" s="56">
        <f t="shared" si="12"/>
        <v>2.6306794916192984E-2</v>
      </c>
      <c r="K14" s="56">
        <f t="shared" si="12"/>
        <v>1.3888222798351358E-2</v>
      </c>
      <c r="L14" s="56">
        <f t="shared" si="12"/>
        <v>9.7506220224393633E-3</v>
      </c>
      <c r="M14" s="56">
        <f t="shared" si="6"/>
        <v>1.4871165020686899E-2</v>
      </c>
      <c r="N14" s="56">
        <f t="shared" ref="N14:Q14" si="13">M14</f>
        <v>1.4871165020686899E-2</v>
      </c>
      <c r="O14" s="56">
        <f t="shared" si="13"/>
        <v>1.4871165020686899E-2</v>
      </c>
      <c r="P14" s="56">
        <f t="shared" si="13"/>
        <v>1.4871165020686899E-2</v>
      </c>
      <c r="Q14" s="56">
        <f t="shared" si="13"/>
        <v>1.4871165020686899E-2</v>
      </c>
    </row>
    <row r="15" spans="1:17" outlineLevel="1" x14ac:dyDescent="0.3">
      <c r="D15" s="268" t="s">
        <v>240</v>
      </c>
      <c r="F15" s="3" t="s">
        <v>233</v>
      </c>
      <c r="H15" s="56">
        <f t="shared" ref="H15:L15" si="14">-H37/H36</f>
        <v>0.18961724593048851</v>
      </c>
      <c r="I15" s="56">
        <f t="shared" si="14"/>
        <v>8.7697155875185534E-2</v>
      </c>
      <c r="J15" s="56">
        <f t="shared" si="14"/>
        <v>0.12177949079854508</v>
      </c>
      <c r="K15" s="56">
        <f t="shared" si="14"/>
        <v>8.8901902097295399E-2</v>
      </c>
      <c r="L15" s="56">
        <f t="shared" si="14"/>
        <v>0.22836208680457074</v>
      </c>
      <c r="M15" s="56">
        <f t="shared" si="6"/>
        <v>0.14327157630121706</v>
      </c>
      <c r="N15" s="56">
        <f t="shared" ref="N15:Q15" si="15">M15</f>
        <v>0.14327157630121706</v>
      </c>
      <c r="O15" s="56">
        <f t="shared" si="15"/>
        <v>0.14327157630121706</v>
      </c>
      <c r="P15" s="56">
        <f t="shared" si="15"/>
        <v>0.14327157630121706</v>
      </c>
      <c r="Q15" s="56">
        <f t="shared" si="15"/>
        <v>0.14327157630121706</v>
      </c>
    </row>
    <row r="16" spans="1:17" outlineLevel="1" x14ac:dyDescent="0.3">
      <c r="D16" s="3" t="s">
        <v>241</v>
      </c>
      <c r="F16" s="3" t="s">
        <v>233</v>
      </c>
      <c r="H16" s="56">
        <f>-H96/H38</f>
        <v>0.28253451217620634</v>
      </c>
      <c r="I16" s="56">
        <f>-I96/I38</f>
        <v>0.38245556029269734</v>
      </c>
      <c r="J16" s="56">
        <f>-J96/J38</f>
        <v>0.20693918171309875</v>
      </c>
      <c r="K16" s="56">
        <f>-K96/K38</f>
        <v>0.25108907827080551</v>
      </c>
      <c r="L16" s="56">
        <f>-L96/L38</f>
        <v>0.52593835976996606</v>
      </c>
      <c r="M16" s="56">
        <f t="shared" si="6"/>
        <v>0.32979133844455483</v>
      </c>
      <c r="N16" s="56">
        <f t="shared" ref="N16:Q16" si="16">M16</f>
        <v>0.32979133844455483</v>
      </c>
      <c r="O16" s="56">
        <f t="shared" si="16"/>
        <v>0.32979133844455483</v>
      </c>
      <c r="P16" s="56">
        <f t="shared" si="16"/>
        <v>0.32979133844455483</v>
      </c>
      <c r="Q16" s="56">
        <f t="shared" si="16"/>
        <v>0.32979133844455483</v>
      </c>
    </row>
    <row r="17" spans="1:17" outlineLevel="1" x14ac:dyDescent="0.3">
      <c r="D17" s="3" t="s">
        <v>426</v>
      </c>
      <c r="F17" s="3" t="s">
        <v>242</v>
      </c>
      <c r="H17" s="57">
        <f t="shared" ref="H17:L17" si="17">H47/H25*365</f>
        <v>61.935283715657754</v>
      </c>
      <c r="I17" s="57">
        <f t="shared" si="17"/>
        <v>72.146503746242956</v>
      </c>
      <c r="J17" s="57">
        <f t="shared" si="17"/>
        <v>66.173828343115233</v>
      </c>
      <c r="K17" s="57">
        <f t="shared" si="17"/>
        <v>64.685603699012347</v>
      </c>
      <c r="L17" s="57">
        <f t="shared" si="17"/>
        <v>67.094426713428263</v>
      </c>
      <c r="M17" s="57">
        <f t="shared" si="6"/>
        <v>66.407129243491312</v>
      </c>
      <c r="N17" s="57">
        <f t="shared" ref="N17:Q17" si="18">M17</f>
        <v>66.407129243491312</v>
      </c>
      <c r="O17" s="57">
        <f t="shared" si="18"/>
        <v>66.407129243491312</v>
      </c>
      <c r="P17" s="57">
        <f t="shared" si="18"/>
        <v>66.407129243491312</v>
      </c>
      <c r="Q17" s="57">
        <f t="shared" si="18"/>
        <v>66.407129243491312</v>
      </c>
    </row>
    <row r="18" spans="1:17" outlineLevel="1" x14ac:dyDescent="0.3">
      <c r="D18" s="3" t="s">
        <v>427</v>
      </c>
      <c r="F18" s="3" t="s">
        <v>242</v>
      </c>
      <c r="H18" s="57">
        <f t="shared" ref="H18:L18" si="19">-H48/H26*365</f>
        <v>185.89410078880258</v>
      </c>
      <c r="I18" s="57">
        <f t="shared" si="19"/>
        <v>198.46971844039058</v>
      </c>
      <c r="J18" s="57">
        <f t="shared" si="19"/>
        <v>241.26061181205449</v>
      </c>
      <c r="K18" s="57">
        <f t="shared" si="19"/>
        <v>262.42639864698384</v>
      </c>
      <c r="L18" s="57">
        <f t="shared" si="19"/>
        <v>193.96362017102661</v>
      </c>
      <c r="M18" s="57">
        <f t="shared" si="6"/>
        <v>216.40288997185161</v>
      </c>
      <c r="N18" s="57">
        <f t="shared" ref="N18:Q18" si="20">M18</f>
        <v>216.40288997185161</v>
      </c>
      <c r="O18" s="57">
        <f t="shared" si="20"/>
        <v>216.40288997185161</v>
      </c>
      <c r="P18" s="57">
        <f t="shared" si="20"/>
        <v>216.40288997185161</v>
      </c>
      <c r="Q18" s="57">
        <f t="shared" si="20"/>
        <v>216.40288997185161</v>
      </c>
    </row>
    <row r="19" spans="1:17" outlineLevel="1" x14ac:dyDescent="0.3">
      <c r="D19" s="3" t="s">
        <v>187</v>
      </c>
      <c r="F19" s="3" t="s">
        <v>242</v>
      </c>
      <c r="H19" s="57">
        <f>-H59/H26*365</f>
        <v>119.26140164415935</v>
      </c>
      <c r="I19" s="57">
        <f>-I59/I26*365</f>
        <v>104.10597798465743</v>
      </c>
      <c r="J19" s="57">
        <f>-J59/J26*365</f>
        <v>111.57327795658662</v>
      </c>
      <c r="K19" s="57">
        <f>-K59/K26*365</f>
        <v>102.45310732030555</v>
      </c>
      <c r="L19" s="57">
        <f>-L59/L26*365</f>
        <v>86.660386317874654</v>
      </c>
      <c r="M19" s="57">
        <f t="shared" si="6"/>
        <v>104.81083024471673</v>
      </c>
      <c r="N19" s="57">
        <f t="shared" ref="N19:Q19" si="21">M19</f>
        <v>104.81083024471673</v>
      </c>
      <c r="O19" s="57">
        <f t="shared" si="21"/>
        <v>104.81083024471673</v>
      </c>
      <c r="P19" s="57">
        <f t="shared" si="21"/>
        <v>104.81083024471673</v>
      </c>
      <c r="Q19" s="57">
        <f t="shared" si="21"/>
        <v>104.81083024471673</v>
      </c>
    </row>
    <row r="20" spans="1:17" outlineLevel="1" x14ac:dyDescent="0.3">
      <c r="D20" s="268" t="s">
        <v>428</v>
      </c>
      <c r="E20" s="268"/>
      <c r="F20" s="268" t="s">
        <v>243</v>
      </c>
      <c r="G20" s="268"/>
      <c r="H20" s="269">
        <f>H25/H51</f>
        <v>2.7838196788303486</v>
      </c>
      <c r="I20" s="269">
        <f>I25/I51</f>
        <v>2.9048817592853684</v>
      </c>
      <c r="J20" s="269">
        <f>J25/J51</f>
        <v>3.1764324386302483</v>
      </c>
      <c r="K20" s="269">
        <f>K25/K51</f>
        <v>3.7469134497484249</v>
      </c>
      <c r="L20" s="269">
        <f>L25/L51</f>
        <v>4.4734698600023144</v>
      </c>
      <c r="M20" s="269">
        <f>L20+0.5</f>
        <v>4.9734698600023144</v>
      </c>
      <c r="N20" s="269">
        <f t="shared" ref="N20:Q20" si="22">M20+0.5</f>
        <v>5.4734698600023144</v>
      </c>
      <c r="O20" s="269">
        <f t="shared" si="22"/>
        <v>5.9734698600023144</v>
      </c>
      <c r="P20" s="269">
        <f t="shared" si="22"/>
        <v>6.4734698600023144</v>
      </c>
      <c r="Q20" s="269">
        <f t="shared" si="22"/>
        <v>6.9734698600023144</v>
      </c>
    </row>
    <row r="21" spans="1:17" outlineLevel="1" x14ac:dyDescent="0.3"/>
    <row r="23" spans="1:17" ht="21" x14ac:dyDescent="0.4">
      <c r="A23" s="28" t="s">
        <v>158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outlineLevel="1" x14ac:dyDescent="0.3">
      <c r="B24" s="29" t="s">
        <v>18</v>
      </c>
    </row>
    <row r="25" spans="1:17" s="29" customFormat="1" outlineLevel="1" x14ac:dyDescent="0.3">
      <c r="D25" s="29" t="s">
        <v>159</v>
      </c>
      <c r="F25" s="32" t="s">
        <v>184</v>
      </c>
      <c r="H25" s="34">
        <f>Historical!H6</f>
        <v>73571.899999999994</v>
      </c>
      <c r="I25" s="34">
        <f>Historical!I6</f>
        <v>83443.600000000006</v>
      </c>
      <c r="J25" s="34">
        <f>Historical!J6</f>
        <v>88650.1</v>
      </c>
      <c r="K25" s="34">
        <f>Historical!K6</f>
        <v>106341.9</v>
      </c>
      <c r="L25" s="34">
        <f>Historical!L6</f>
        <v>115992.6</v>
      </c>
      <c r="M25" s="33">
        <f t="shared" ref="M25:Q25" si="23">L25*(1+M8)</f>
        <v>130111.61117693497</v>
      </c>
      <c r="N25" s="33">
        <f t="shared" si="23"/>
        <v>143573.59236011162</v>
      </c>
      <c r="O25" s="33">
        <f t="shared" si="23"/>
        <v>156200.19220065832</v>
      </c>
      <c r="P25" s="33">
        <f t="shared" si="23"/>
        <v>167876.68295418931</v>
      </c>
      <c r="Q25" s="33">
        <f t="shared" si="23"/>
        <v>178543.62857273515</v>
      </c>
    </row>
    <row r="26" spans="1:17" outlineLevel="1" x14ac:dyDescent="0.3">
      <c r="D26" s="3" t="s">
        <v>160</v>
      </c>
      <c r="F26" s="30" t="s">
        <v>185</v>
      </c>
      <c r="H26" s="40">
        <f>-SUM(Historical!H10:H12)</f>
        <v>-29449.700000000004</v>
      </c>
      <c r="I26" s="40">
        <f>-SUM(Historical!I10:I12)</f>
        <v>-33449.4</v>
      </c>
      <c r="J26" s="40">
        <f>-SUM(Historical!J10:J12)</f>
        <v>-34984.6</v>
      </c>
      <c r="K26" s="40">
        <f>-SUM(Historical!K10:K12)</f>
        <v>-41802.899999999994</v>
      </c>
      <c r="L26" s="40">
        <f>-SUM(Historical!L10:L12)</f>
        <v>-49068.399999999994</v>
      </c>
      <c r="M26" s="31">
        <f>-M25*M9</f>
        <v>-52354.658208219327</v>
      </c>
      <c r="N26" s="31">
        <f t="shared" ref="N26:Q26" si="24">-N25*N9</f>
        <v>-57771.526213122139</v>
      </c>
      <c r="O26" s="31">
        <f t="shared" si="24"/>
        <v>-62852.251238383877</v>
      </c>
      <c r="P26" s="31">
        <f t="shared" si="24"/>
        <v>-67550.668827274028</v>
      </c>
      <c r="Q26" s="31">
        <f t="shared" si="24"/>
        <v>-71842.862943794433</v>
      </c>
    </row>
    <row r="27" spans="1:17" outlineLevel="1" x14ac:dyDescent="0.3">
      <c r="D27" s="35" t="s">
        <v>161</v>
      </c>
      <c r="E27" s="36"/>
      <c r="F27" s="37" t="s">
        <v>185</v>
      </c>
      <c r="G27" s="36"/>
      <c r="H27" s="38">
        <f t="shared" ref="H27:Q27" si="25">SUM(H25:H26)</f>
        <v>44122.19999999999</v>
      </c>
      <c r="I27" s="38">
        <f t="shared" si="25"/>
        <v>49994.200000000004</v>
      </c>
      <c r="J27" s="38">
        <f t="shared" si="25"/>
        <v>53665.500000000007</v>
      </c>
      <c r="K27" s="38">
        <f t="shared" si="25"/>
        <v>64539</v>
      </c>
      <c r="L27" s="38">
        <f t="shared" si="25"/>
        <v>66924.200000000012</v>
      </c>
      <c r="M27" s="38">
        <f t="shared" si="25"/>
        <v>77756.952968715632</v>
      </c>
      <c r="N27" s="38">
        <f t="shared" si="25"/>
        <v>85802.066146989484</v>
      </c>
      <c r="O27" s="38">
        <f t="shared" si="25"/>
        <v>93347.940962274442</v>
      </c>
      <c r="P27" s="38">
        <f t="shared" si="25"/>
        <v>100326.01412691528</v>
      </c>
      <c r="Q27" s="38">
        <f t="shared" si="25"/>
        <v>106700.76562894072</v>
      </c>
    </row>
    <row r="28" spans="1:17" outlineLevel="1" x14ac:dyDescent="0.3">
      <c r="B28" s="29" t="s">
        <v>162</v>
      </c>
      <c r="E28" s="6"/>
      <c r="F28" s="6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spans="1:17" outlineLevel="1" x14ac:dyDescent="0.3">
      <c r="D29" s="3" t="s">
        <v>163</v>
      </c>
      <c r="F29" s="30" t="s">
        <v>185</v>
      </c>
      <c r="H29" s="40">
        <f>-Historical!H14</f>
        <v>-13624.6</v>
      </c>
      <c r="I29" s="40">
        <f>-Historical!I14</f>
        <v>-15054.9</v>
      </c>
      <c r="J29" s="40">
        <f>-Historical!J14</f>
        <v>-16210.3</v>
      </c>
      <c r="K29" s="40">
        <f>-Historical!K14</f>
        <v>-19627.099999999999</v>
      </c>
      <c r="L29" s="40">
        <f>-Historical!L14</f>
        <v>-21313.5</v>
      </c>
      <c r="M29" s="31">
        <f>-M25*M10</f>
        <v>-23856.731992396104</v>
      </c>
      <c r="N29" s="31">
        <f t="shared" ref="N29:Q29" si="26">-N25*N10</f>
        <v>-26325.065711951618</v>
      </c>
      <c r="O29" s="31">
        <f t="shared" si="26"/>
        <v>-28640.227330859871</v>
      </c>
      <c r="P29" s="31">
        <f t="shared" si="26"/>
        <v>-30781.180839919649</v>
      </c>
      <c r="Q29" s="31">
        <f t="shared" si="26"/>
        <v>-32737.028288869107</v>
      </c>
    </row>
    <row r="30" spans="1:17" outlineLevel="1" x14ac:dyDescent="0.3">
      <c r="D30" s="3" t="s">
        <v>164</v>
      </c>
      <c r="F30" s="30" t="s">
        <v>185</v>
      </c>
      <c r="H30" s="40">
        <f>-Historical!H17</f>
        <v>-19349.900000000001</v>
      </c>
      <c r="I30" s="40">
        <f>-Historical!I17</f>
        <v>-20205.400000000001</v>
      </c>
      <c r="J30" s="40">
        <f>-Historical!J17</f>
        <v>-18031.3</v>
      </c>
      <c r="K30" s="40">
        <f>-Historical!K17</f>
        <v>-24382.7</v>
      </c>
      <c r="L30" s="40">
        <f>-Historical!L17</f>
        <v>-29516.2</v>
      </c>
      <c r="M30" s="31">
        <f>-M25*M11</f>
        <v>-31026.460031849881</v>
      </c>
      <c r="N30" s="31">
        <f t="shared" ref="N30:Q30" si="27">-N25*M11</f>
        <v>-34236.608744568213</v>
      </c>
      <c r="O30" s="31">
        <f t="shared" si="27"/>
        <v>-37247.552131920042</v>
      </c>
      <c r="P30" s="31">
        <f t="shared" si="27"/>
        <v>-40031.932176096416</v>
      </c>
      <c r="Q30" s="31">
        <f t="shared" si="27"/>
        <v>-42575.575736436847</v>
      </c>
    </row>
    <row r="31" spans="1:17" outlineLevel="1" x14ac:dyDescent="0.3">
      <c r="D31" s="35" t="s">
        <v>165</v>
      </c>
      <c r="E31" s="36"/>
      <c r="F31" s="37" t="s">
        <v>185</v>
      </c>
      <c r="G31" s="36"/>
      <c r="H31" s="38">
        <f>SUM(H27:H30)</f>
        <v>11147.69999999999</v>
      </c>
      <c r="I31" s="38">
        <f>SUM(I27:I30)</f>
        <v>14733.900000000001</v>
      </c>
      <c r="J31" s="38">
        <f t="shared" ref="J31:Q31" si="28">SUM(J27:J30)</f>
        <v>19423.900000000012</v>
      </c>
      <c r="K31" s="38">
        <f t="shared" si="28"/>
        <v>20529.2</v>
      </c>
      <c r="L31" s="38">
        <f t="shared" si="28"/>
        <v>16094.500000000011</v>
      </c>
      <c r="M31" s="38">
        <f t="shared" si="28"/>
        <v>22873.760944469646</v>
      </c>
      <c r="N31" s="38">
        <f t="shared" si="28"/>
        <v>25240.391690469653</v>
      </c>
      <c r="O31" s="38">
        <f t="shared" si="28"/>
        <v>27460.161499494534</v>
      </c>
      <c r="P31" s="38">
        <f t="shared" si="28"/>
        <v>29512.90111089922</v>
      </c>
      <c r="Q31" s="38">
        <f t="shared" si="28"/>
        <v>31388.16160363477</v>
      </c>
    </row>
    <row r="32" spans="1:17" outlineLevel="1" x14ac:dyDescent="0.3">
      <c r="D32" s="5" t="s">
        <v>166</v>
      </c>
      <c r="E32" s="5"/>
      <c r="F32" s="39" t="s">
        <v>185</v>
      </c>
      <c r="G32" s="5"/>
      <c r="H32" s="41">
        <f>-Historical!H16</f>
        <v>-1931.8</v>
      </c>
      <c r="I32" s="41">
        <f>-Historical!I16</f>
        <v>-2527.6</v>
      </c>
      <c r="J32" s="41">
        <f>-Historical!J16</f>
        <v>-2745.8</v>
      </c>
      <c r="K32" s="41">
        <f>-Historical!K16</f>
        <v>-3039.6</v>
      </c>
      <c r="L32" s="41">
        <f>-Historical!L16</f>
        <v>-3104.2</v>
      </c>
      <c r="M32" s="73">
        <f t="shared" ref="M32:Q32" si="29">M118</f>
        <v>-2654.5801895336244</v>
      </c>
      <c r="N32" s="73">
        <f t="shared" si="29"/>
        <v>-2673.4470835373563</v>
      </c>
      <c r="O32" s="73">
        <f t="shared" si="29"/>
        <v>-2651.5431000022754</v>
      </c>
      <c r="P32" s="73">
        <f t="shared" si="29"/>
        <v>-2596.4875313027046</v>
      </c>
      <c r="Q32" s="73">
        <f t="shared" si="29"/>
        <v>-2515.327522976278</v>
      </c>
    </row>
    <row r="33" spans="1:17" outlineLevel="1" x14ac:dyDescent="0.3">
      <c r="D33" s="29" t="s">
        <v>167</v>
      </c>
      <c r="F33" s="30" t="s">
        <v>185</v>
      </c>
      <c r="H33" s="33">
        <f t="shared" ref="H33:Q33" si="30">SUM(H31:H32)</f>
        <v>9215.8999999999905</v>
      </c>
      <c r="I33" s="33">
        <f t="shared" si="30"/>
        <v>12206.300000000001</v>
      </c>
      <c r="J33" s="33">
        <f t="shared" si="30"/>
        <v>16678.100000000013</v>
      </c>
      <c r="K33" s="33">
        <f t="shared" si="30"/>
        <v>17489.600000000002</v>
      </c>
      <c r="L33" s="33">
        <f t="shared" si="30"/>
        <v>12990.30000000001</v>
      </c>
      <c r="M33" s="33">
        <f t="shared" si="30"/>
        <v>20219.180754936024</v>
      </c>
      <c r="N33" s="33">
        <f t="shared" si="30"/>
        <v>22566.944606932295</v>
      </c>
      <c r="O33" s="33">
        <f t="shared" si="30"/>
        <v>24808.618399492258</v>
      </c>
      <c r="P33" s="33">
        <f t="shared" si="30"/>
        <v>26916.413579596516</v>
      </c>
      <c r="Q33" s="33">
        <f t="shared" si="30"/>
        <v>28872.834080658493</v>
      </c>
    </row>
    <row r="34" spans="1:17" outlineLevel="1" x14ac:dyDescent="0.3">
      <c r="D34" s="3" t="s">
        <v>152</v>
      </c>
      <c r="F34" s="30" t="s">
        <v>185</v>
      </c>
      <c r="H34" s="40">
        <f>-Historical!H15</f>
        <v>-546.29999999999995</v>
      </c>
      <c r="I34" s="40">
        <f>-Historical!I15</f>
        <v>-650.6</v>
      </c>
      <c r="J34" s="40">
        <f>-Historical!J15</f>
        <v>-589.20000000000005</v>
      </c>
      <c r="K34" s="40">
        <f>-Historical!K15</f>
        <v>-523.70000000000005</v>
      </c>
      <c r="L34" s="40">
        <f>-Historical!L15</f>
        <v>-1073.5999999999999</v>
      </c>
      <c r="M34" s="31">
        <f t="shared" ref="M34:Q34" si="31">M125</f>
        <v>-617.96105116706747</v>
      </c>
      <c r="N34" s="31">
        <f t="shared" si="31"/>
        <v>-617.96105116706747</v>
      </c>
      <c r="O34" s="31">
        <f t="shared" si="31"/>
        <v>-617.96105116706747</v>
      </c>
      <c r="P34" s="31">
        <f t="shared" si="31"/>
        <v>-617.96105116706747</v>
      </c>
      <c r="Q34" s="31">
        <f t="shared" si="31"/>
        <v>-617.96105116706747</v>
      </c>
    </row>
    <row r="35" spans="1:17" outlineLevel="1" x14ac:dyDescent="0.3">
      <c r="D35" s="261" t="s">
        <v>168</v>
      </c>
      <c r="E35" s="261"/>
      <c r="F35" s="262" t="s">
        <v>185</v>
      </c>
      <c r="G35" s="261"/>
      <c r="H35" s="263">
        <f>Historical!H7+Historical!H20</f>
        <v>877</v>
      </c>
      <c r="I35" s="263">
        <f>Historical!I7+Historical!I20</f>
        <v>1042.2</v>
      </c>
      <c r="J35" s="263">
        <f>Historical!J7+Historical!J20</f>
        <v>2332.1</v>
      </c>
      <c r="K35" s="263">
        <f>Historical!K7+Historical!K20</f>
        <v>1476.9</v>
      </c>
      <c r="L35" s="263">
        <f>Historical!L7+Historical!L20</f>
        <v>1131.0000000000002</v>
      </c>
      <c r="M35" s="264">
        <f>M25*M14</f>
        <v>1934.9112409196498</v>
      </c>
      <c r="N35" s="264">
        <f t="shared" ref="N35:Q35" si="32">N25*N14</f>
        <v>2135.1065846000515</v>
      </c>
      <c r="O35" s="264">
        <f t="shared" si="32"/>
        <v>2322.8788344790005</v>
      </c>
      <c r="P35" s="264">
        <f t="shared" si="32"/>
        <v>2496.5218553372847</v>
      </c>
      <c r="Q35" s="264">
        <f t="shared" si="32"/>
        <v>2655.1517638973728</v>
      </c>
    </row>
    <row r="36" spans="1:17" outlineLevel="1" x14ac:dyDescent="0.3">
      <c r="D36" s="29" t="s">
        <v>169</v>
      </c>
      <c r="F36" s="30" t="s">
        <v>185</v>
      </c>
      <c r="H36" s="33">
        <f t="shared" ref="H36:Q36" si="33">SUM(H33:H35)</f>
        <v>9546.5999999999913</v>
      </c>
      <c r="I36" s="33">
        <f t="shared" si="33"/>
        <v>12597.900000000001</v>
      </c>
      <c r="J36" s="33">
        <f t="shared" si="33"/>
        <v>18421.000000000011</v>
      </c>
      <c r="K36" s="33">
        <f t="shared" si="33"/>
        <v>18442.800000000003</v>
      </c>
      <c r="L36" s="33">
        <f t="shared" si="33"/>
        <v>13047.70000000001</v>
      </c>
      <c r="M36" s="33">
        <f t="shared" si="33"/>
        <v>21536.130944688604</v>
      </c>
      <c r="N36" s="33">
        <f t="shared" si="33"/>
        <v>24084.090140365279</v>
      </c>
      <c r="O36" s="33">
        <f t="shared" si="33"/>
        <v>26513.53618280419</v>
      </c>
      <c r="P36" s="33">
        <f t="shared" si="33"/>
        <v>28794.97438376673</v>
      </c>
      <c r="Q36" s="33">
        <f t="shared" si="33"/>
        <v>30910.024793388795</v>
      </c>
    </row>
    <row r="37" spans="1:17" outlineLevel="1" x14ac:dyDescent="0.3">
      <c r="D37" s="5" t="s">
        <v>170</v>
      </c>
      <c r="E37" s="5"/>
      <c r="F37" s="39" t="s">
        <v>185</v>
      </c>
      <c r="G37" s="5"/>
      <c r="H37" s="41">
        <f>-Historical!H26</f>
        <v>-1810.2</v>
      </c>
      <c r="I37" s="41">
        <f>-Historical!I26</f>
        <v>-1104.8</v>
      </c>
      <c r="J37" s="41">
        <f>-Historical!J26</f>
        <v>-2243.3000000000002</v>
      </c>
      <c r="K37" s="41">
        <f>-Historical!K26</f>
        <v>-1639.6</v>
      </c>
      <c r="L37" s="41">
        <f>-Historical!L26</f>
        <v>-2979.6</v>
      </c>
      <c r="M37" s="31">
        <f>-M36*M15</f>
        <v>-3085.5154278749551</v>
      </c>
      <c r="N37" s="31">
        <f t="shared" ref="N37:Q37" si="34">-N36*N15</f>
        <v>-3450.5655581907336</v>
      </c>
      <c r="O37" s="31">
        <f t="shared" si="34"/>
        <v>-3798.6361222297101</v>
      </c>
      <c r="P37" s="31">
        <f t="shared" si="34"/>
        <v>-4125.5013695154257</v>
      </c>
      <c r="Q37" s="31">
        <f t="shared" si="34"/>
        <v>-4428.5279756585142</v>
      </c>
    </row>
    <row r="38" spans="1:17" ht="15" outlineLevel="1" thickBot="1" x14ac:dyDescent="0.35">
      <c r="D38" s="42" t="s">
        <v>171</v>
      </c>
      <c r="E38" s="43"/>
      <c r="F38" s="44" t="s">
        <v>185</v>
      </c>
      <c r="G38" s="43"/>
      <c r="H38" s="45">
        <f t="shared" ref="H38:Q38" si="35">SUM(H36:H37)</f>
        <v>7736.3999999999915</v>
      </c>
      <c r="I38" s="45">
        <f t="shared" si="35"/>
        <v>11493.100000000002</v>
      </c>
      <c r="J38" s="45">
        <f t="shared" si="35"/>
        <v>16177.700000000012</v>
      </c>
      <c r="K38" s="45">
        <f t="shared" si="35"/>
        <v>16803.200000000004</v>
      </c>
      <c r="L38" s="45">
        <f t="shared" si="35"/>
        <v>10068.100000000009</v>
      </c>
      <c r="M38" s="45">
        <f t="shared" si="35"/>
        <v>18450.61551681365</v>
      </c>
      <c r="N38" s="45">
        <f t="shared" si="35"/>
        <v>20633.524582174545</v>
      </c>
      <c r="O38" s="45">
        <f t="shared" si="35"/>
        <v>22714.90006057448</v>
      </c>
      <c r="P38" s="45">
        <f t="shared" si="35"/>
        <v>24669.473014251304</v>
      </c>
      <c r="Q38" s="45">
        <f t="shared" si="35"/>
        <v>26481.49681773028</v>
      </c>
    </row>
    <row r="39" spans="1:17" ht="15" outlineLevel="1" thickTop="1" x14ac:dyDescent="0.3"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x14ac:dyDescent="0.3"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1:17" ht="21" x14ac:dyDescent="0.4">
      <c r="A41" s="28" t="s">
        <v>172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outlineLevel="1" x14ac:dyDescent="0.3"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outlineLevel="1" x14ac:dyDescent="0.3">
      <c r="B43" s="29" t="s">
        <v>173</v>
      </c>
    </row>
    <row r="44" spans="1:17" outlineLevel="1" x14ac:dyDescent="0.3">
      <c r="C44" s="29" t="s">
        <v>174</v>
      </c>
    </row>
    <row r="45" spans="1:17" outlineLevel="1" x14ac:dyDescent="0.3">
      <c r="D45" s="3" t="s">
        <v>176</v>
      </c>
      <c r="F45" s="30" t="s">
        <v>185</v>
      </c>
      <c r="H45" s="40">
        <f>Historical!H55</f>
        <v>2490.5</v>
      </c>
      <c r="I45" s="40">
        <f>Historical!I55</f>
        <v>1759.4</v>
      </c>
      <c r="J45" s="40">
        <f>Historical!J55</f>
        <v>1742.2</v>
      </c>
      <c r="K45" s="40">
        <f>Historical!K55</f>
        <v>2321.8000000000002</v>
      </c>
      <c r="L45" s="40">
        <f>Historical!L55</f>
        <v>2738</v>
      </c>
      <c r="M45" s="31">
        <f t="shared" ref="M45:Q45" si="36">M102</f>
        <v>10987.839582111461</v>
      </c>
      <c r="N45" s="31">
        <f t="shared" si="36"/>
        <v>20925.211679384029</v>
      </c>
      <c r="O45" s="31">
        <f t="shared" si="36"/>
        <v>32836.109218204954</v>
      </c>
      <c r="P45" s="31">
        <f t="shared" si="36"/>
        <v>46601.701221290132</v>
      </c>
      <c r="Q45" s="31">
        <f t="shared" si="36"/>
        <v>62082.53512330167</v>
      </c>
    </row>
    <row r="46" spans="1:17" outlineLevel="1" x14ac:dyDescent="0.3">
      <c r="D46" s="3" t="s">
        <v>177</v>
      </c>
      <c r="F46" s="30" t="s">
        <v>185</v>
      </c>
      <c r="H46" s="40">
        <f>Historical!H56</f>
        <v>4125.5</v>
      </c>
      <c r="I46" s="40">
        <f>Historical!I56</f>
        <v>9162.7000000000007</v>
      </c>
      <c r="J46" s="40">
        <f>Historical!J56</f>
        <v>18162.3</v>
      </c>
      <c r="K46" s="40">
        <f>Historical!K56</f>
        <v>23464</v>
      </c>
      <c r="L46" s="40">
        <f>Historical!L56</f>
        <v>23430.9</v>
      </c>
      <c r="M46" s="31">
        <f t="shared" ref="M46:Q46" si="37">L46</f>
        <v>23430.9</v>
      </c>
      <c r="N46" s="31">
        <f t="shared" si="37"/>
        <v>23430.9</v>
      </c>
      <c r="O46" s="31">
        <f t="shared" si="37"/>
        <v>23430.9</v>
      </c>
      <c r="P46" s="31">
        <f t="shared" si="37"/>
        <v>23430.9</v>
      </c>
      <c r="Q46" s="31">
        <f t="shared" si="37"/>
        <v>23430.9</v>
      </c>
    </row>
    <row r="47" spans="1:17" outlineLevel="1" x14ac:dyDescent="0.3">
      <c r="D47" s="3" t="s">
        <v>178</v>
      </c>
      <c r="F47" s="30" t="s">
        <v>185</v>
      </c>
      <c r="H47" s="40">
        <f>Historical!H54</f>
        <v>12484.1</v>
      </c>
      <c r="I47" s="40">
        <f>Historical!I54</f>
        <v>16493.599999999999</v>
      </c>
      <c r="J47" s="40">
        <f>Historical!J54</f>
        <v>16072.1</v>
      </c>
      <c r="K47" s="40">
        <f>Historical!K54</f>
        <v>18846</v>
      </c>
      <c r="L47" s="40">
        <f>Historical!L54</f>
        <v>21321.8</v>
      </c>
      <c r="M47" s="31">
        <f>M25*M17/365</f>
        <v>23672.160491796189</v>
      </c>
      <c r="N47" s="31">
        <f t="shared" ref="N47:Q47" si="38">N25*N17/365</f>
        <v>26121.397544685671</v>
      </c>
      <c r="O47" s="31">
        <f t="shared" si="38"/>
        <v>28418.647537883015</v>
      </c>
      <c r="P47" s="31">
        <f t="shared" si="38"/>
        <v>30543.037210705381</v>
      </c>
      <c r="Q47" s="31">
        <f t="shared" si="38"/>
        <v>32483.752926661728</v>
      </c>
    </row>
    <row r="48" spans="1:17" outlineLevel="1" x14ac:dyDescent="0.3">
      <c r="D48" s="3" t="s">
        <v>179</v>
      </c>
      <c r="F48" s="30" t="s">
        <v>185</v>
      </c>
      <c r="H48" s="40">
        <f>Historical!H51</f>
        <v>14998.7</v>
      </c>
      <c r="I48" s="40">
        <f>Historical!I51</f>
        <v>18188.2</v>
      </c>
      <c r="J48" s="40">
        <f>Historical!J51</f>
        <v>23124.400000000001</v>
      </c>
      <c r="K48" s="40">
        <f>Historical!K51</f>
        <v>30055.3</v>
      </c>
      <c r="L48" s="40">
        <f>Historical!L51</f>
        <v>26075.3</v>
      </c>
      <c r="M48" s="31">
        <f t="shared" ref="M48:Q48" si="39">-M26*M18/365</f>
        <v>31040.272163690919</v>
      </c>
      <c r="N48" s="31">
        <f t="shared" si="39"/>
        <v>34251.84994686085</v>
      </c>
      <c r="O48" s="31">
        <f t="shared" si="39"/>
        <v>37264.133723899067</v>
      </c>
      <c r="P48" s="31">
        <f t="shared" si="39"/>
        <v>40049.75329795498</v>
      </c>
      <c r="Q48" s="31">
        <f t="shared" si="39"/>
        <v>42594.529218873322</v>
      </c>
    </row>
    <row r="49" spans="2:17" outlineLevel="1" x14ac:dyDescent="0.3">
      <c r="D49" s="3" t="s">
        <v>180</v>
      </c>
      <c r="F49" s="30" t="s">
        <v>185</v>
      </c>
      <c r="H49" s="40">
        <f>Historical!H59</f>
        <v>4293.8</v>
      </c>
      <c r="I49" s="40">
        <f>Historical!I59</f>
        <v>5266</v>
      </c>
      <c r="J49" s="40">
        <f>Historical!J59</f>
        <v>5550.1</v>
      </c>
      <c r="K49" s="40">
        <f>Historical!K59</f>
        <v>6322.8</v>
      </c>
      <c r="L49" s="40">
        <f>Historical!L59</f>
        <v>7360.9</v>
      </c>
      <c r="M49" s="31">
        <f t="shared" ref="M49:Q49" si="40">L49</f>
        <v>7360.9</v>
      </c>
      <c r="N49" s="31">
        <f t="shared" si="40"/>
        <v>7360.9</v>
      </c>
      <c r="O49" s="31">
        <f t="shared" si="40"/>
        <v>7360.9</v>
      </c>
      <c r="P49" s="31">
        <f t="shared" si="40"/>
        <v>7360.9</v>
      </c>
      <c r="Q49" s="31">
        <f t="shared" si="40"/>
        <v>7360.9</v>
      </c>
    </row>
    <row r="50" spans="2:17" outlineLevel="1" x14ac:dyDescent="0.3">
      <c r="C50" s="29" t="s">
        <v>175</v>
      </c>
      <c r="F50" s="30"/>
      <c r="H50" s="40"/>
      <c r="I50" s="40"/>
      <c r="J50" s="40"/>
      <c r="K50" s="40"/>
      <c r="L50" s="40"/>
    </row>
    <row r="51" spans="2:17" outlineLevel="1" x14ac:dyDescent="0.3">
      <c r="D51" s="3" t="s">
        <v>181</v>
      </c>
      <c r="F51" s="30" t="s">
        <v>185</v>
      </c>
      <c r="H51" s="40">
        <f>SUM(Historical!H35:H37,Historical!H39,Historical!H41)</f>
        <v>26428.400000000001</v>
      </c>
      <c r="I51" s="40">
        <f>SUM(Historical!I35:I37,Historical!I39,Historical!I41)</f>
        <v>28725.300000000003</v>
      </c>
      <c r="J51" s="40">
        <f>SUM(Historical!J35:J37,Historical!J39,Historical!J41)</f>
        <v>27908.699999999997</v>
      </c>
      <c r="K51" s="40">
        <f>SUM(Historical!K35:K37,Historical!K39,Historical!K41)</f>
        <v>28381.200000000001</v>
      </c>
      <c r="L51" s="40">
        <f>SUM(Historical!L35:L37,Historical!L39,Historical!L41)</f>
        <v>25929</v>
      </c>
      <c r="M51" s="31">
        <f t="shared" ref="M51:Q51" si="41">M119</f>
        <v>26113.285144804278</v>
      </c>
      <c r="N51" s="31">
        <f t="shared" si="41"/>
        <v>25899.334784095492</v>
      </c>
      <c r="O51" s="31">
        <f t="shared" si="41"/>
        <v>25361.571469790804</v>
      </c>
      <c r="P51" s="31">
        <f t="shared" si="41"/>
        <v>24568.829225953887</v>
      </c>
      <c r="Q51" s="31">
        <f t="shared" si="41"/>
        <v>23583.148468890828</v>
      </c>
    </row>
    <row r="52" spans="2:17" outlineLevel="1" x14ac:dyDescent="0.3">
      <c r="D52" s="3" t="s">
        <v>182</v>
      </c>
      <c r="F52" s="30" t="s">
        <v>185</v>
      </c>
      <c r="H52" s="40">
        <f>Historical!H38+Historical!H40</f>
        <v>3805.6</v>
      </c>
      <c r="I52" s="40">
        <f>Historical!I38+Historical!I40</f>
        <v>3984.5</v>
      </c>
      <c r="J52" s="40">
        <f>Historical!J38+Historical!J40</f>
        <v>3953.9</v>
      </c>
      <c r="K52" s="40">
        <f>Historical!K38+Historical!K40</f>
        <v>4030.9</v>
      </c>
      <c r="L52" s="40">
        <f>Historical!L38+Historical!L40</f>
        <v>4131.7</v>
      </c>
      <c r="M52" s="31">
        <f t="shared" ref="M52:Q52" si="42">L52</f>
        <v>4131.7</v>
      </c>
      <c r="N52" s="31">
        <f t="shared" si="42"/>
        <v>4131.7</v>
      </c>
      <c r="O52" s="31">
        <f t="shared" si="42"/>
        <v>4131.7</v>
      </c>
      <c r="P52" s="31">
        <f t="shared" si="42"/>
        <v>4131.7</v>
      </c>
      <c r="Q52" s="31">
        <f t="shared" si="42"/>
        <v>4131.7</v>
      </c>
    </row>
    <row r="53" spans="2:17" outlineLevel="1" x14ac:dyDescent="0.3">
      <c r="D53" s="268" t="s">
        <v>429</v>
      </c>
      <c r="E53" s="268"/>
      <c r="F53" s="270" t="s">
        <v>185</v>
      </c>
      <c r="G53" s="268"/>
      <c r="H53" s="271">
        <f>SUM(Historical!H43:H45,Historical!H53,Historical!H57:H58,Historical!H61)</f>
        <v>5324.4000000000005</v>
      </c>
      <c r="I53" s="271">
        <f>SUM(Historical!I43:I45,Historical!I53,Historical!I57:I58,Historical!I61)</f>
        <v>5578.3</v>
      </c>
      <c r="J53" s="271">
        <f>SUM(Historical!J43:J45,Historical!J53,Historical!J57:J58,Historical!J61)</f>
        <v>6864.7</v>
      </c>
      <c r="K53" s="271">
        <f>SUM(Historical!K43:K45,Historical!K53,Historical!K57:K58,Historical!K61)</f>
        <v>12847.999999999998</v>
      </c>
      <c r="L53" s="271">
        <f>SUM(Historical!L43:L45,Historical!L53,Historical!L57:L58,Historical!L61)</f>
        <v>12448.7</v>
      </c>
      <c r="M53" s="272">
        <f t="shared" ref="M53:Q53" si="43">L53</f>
        <v>12448.7</v>
      </c>
      <c r="N53" s="272">
        <f t="shared" si="43"/>
        <v>12448.7</v>
      </c>
      <c r="O53" s="272">
        <f t="shared" si="43"/>
        <v>12448.7</v>
      </c>
      <c r="P53" s="272">
        <f t="shared" si="43"/>
        <v>12448.7</v>
      </c>
      <c r="Q53" s="272">
        <f t="shared" si="43"/>
        <v>12448.7</v>
      </c>
    </row>
    <row r="54" spans="2:17" outlineLevel="1" x14ac:dyDescent="0.3">
      <c r="D54" s="3" t="s">
        <v>430</v>
      </c>
      <c r="F54" s="30" t="s">
        <v>185</v>
      </c>
      <c r="H54" s="40">
        <f>SUM(Historical!H46:H48)</f>
        <v>8130.9</v>
      </c>
      <c r="I54" s="40">
        <f>SUM(Historical!I46:I48)</f>
        <v>10275.300000000001</v>
      </c>
      <c r="J54" s="40">
        <f>SUM(Historical!J46:J48)</f>
        <v>11814.2</v>
      </c>
      <c r="K54" s="40">
        <f>SUM(Historical!K46:K48)</f>
        <v>14421.900000000001</v>
      </c>
      <c r="L54" s="40">
        <f>SUM(Historical!L46:L48)</f>
        <v>14130</v>
      </c>
      <c r="M54" s="31">
        <f t="shared" ref="M54:Q54" si="44">L54</f>
        <v>14130</v>
      </c>
      <c r="N54" s="31">
        <f t="shared" si="44"/>
        <v>14130</v>
      </c>
      <c r="O54" s="31">
        <f t="shared" si="44"/>
        <v>14130</v>
      </c>
      <c r="P54" s="31">
        <f t="shared" si="44"/>
        <v>14130</v>
      </c>
      <c r="Q54" s="31">
        <f t="shared" si="44"/>
        <v>14130</v>
      </c>
    </row>
    <row r="55" spans="2:17" ht="15" outlineLevel="1" thickBot="1" x14ac:dyDescent="0.35">
      <c r="D55" s="42" t="s">
        <v>183</v>
      </c>
      <c r="E55" s="42"/>
      <c r="F55" s="44" t="s">
        <v>185</v>
      </c>
      <c r="G55" s="42"/>
      <c r="H55" s="46">
        <f>SUM(H45:H54)</f>
        <v>82081.899999999994</v>
      </c>
      <c r="I55" s="46">
        <f>SUM(I45:I54)</f>
        <v>99433.3</v>
      </c>
      <c r="J55" s="46">
        <f>SUM(J45:J54)</f>
        <v>115192.59999999998</v>
      </c>
      <c r="K55" s="46">
        <f>SUM(K45:K54)</f>
        <v>140691.9</v>
      </c>
      <c r="L55" s="46">
        <f>SUM(L45:L54)</f>
        <v>137566.29999999999</v>
      </c>
      <c r="M55" s="46">
        <f t="shared" ref="M55:Q55" si="45">SUM(M45:M54)</f>
        <v>153315.75738240284</v>
      </c>
      <c r="N55" s="46">
        <f t="shared" si="45"/>
        <v>168699.99395502606</v>
      </c>
      <c r="O55" s="46">
        <f t="shared" si="45"/>
        <v>185382.66194977786</v>
      </c>
      <c r="P55" s="46">
        <f t="shared" si="45"/>
        <v>203265.52095590439</v>
      </c>
      <c r="Q55" s="46">
        <f t="shared" si="45"/>
        <v>222246.16573772757</v>
      </c>
    </row>
    <row r="56" spans="2:17" ht="15" outlineLevel="1" thickTop="1" x14ac:dyDescent="0.3"/>
    <row r="57" spans="2:17" outlineLevel="1" x14ac:dyDescent="0.3">
      <c r="B57" s="29" t="s">
        <v>68</v>
      </c>
    </row>
    <row r="58" spans="2:17" outlineLevel="1" x14ac:dyDescent="0.3">
      <c r="C58" s="29" t="s">
        <v>186</v>
      </c>
    </row>
    <row r="59" spans="2:17" outlineLevel="1" x14ac:dyDescent="0.3">
      <c r="D59" s="3" t="s">
        <v>187</v>
      </c>
      <c r="F59" s="30" t="s">
        <v>185</v>
      </c>
      <c r="H59" s="40">
        <f>Historical!H86+Historical!H87</f>
        <v>9622.5</v>
      </c>
      <c r="I59" s="40">
        <f>Historical!I86+Historical!I87</f>
        <v>9540.5</v>
      </c>
      <c r="J59" s="40">
        <f>Historical!J86+Historical!J87</f>
        <v>10694.1</v>
      </c>
      <c r="K59" s="40">
        <f>Historical!K86+Historical!K87</f>
        <v>11733.800000000001</v>
      </c>
      <c r="L59" s="40">
        <f>Historical!L86+Historical!L87</f>
        <v>11650.1</v>
      </c>
      <c r="M59" s="31">
        <f t="shared" ref="M59:Q59" si="46">-M26*M19/365</f>
        <v>15033.795052005044</v>
      </c>
      <c r="N59" s="31">
        <f t="shared" si="46"/>
        <v>16589.264731237661</v>
      </c>
      <c r="O59" s="31">
        <f t="shared" si="46"/>
        <v>18048.209959026135</v>
      </c>
      <c r="P59" s="31">
        <f t="shared" si="46"/>
        <v>19397.374474993139</v>
      </c>
      <c r="Q59" s="31">
        <f t="shared" si="46"/>
        <v>20629.890718620514</v>
      </c>
    </row>
    <row r="60" spans="2:17" outlineLevel="1" x14ac:dyDescent="0.3">
      <c r="D60" s="3" t="s">
        <v>188</v>
      </c>
      <c r="F60" s="30" t="s">
        <v>185</v>
      </c>
      <c r="H60" s="40">
        <f>SUM(Historical!H88:H91)</f>
        <v>5840.1</v>
      </c>
      <c r="I60" s="40">
        <f>SUM(Historical!I88:I91)</f>
        <v>7857.5000000000009</v>
      </c>
      <c r="J60" s="40">
        <f>SUM(Historical!J88:J91)</f>
        <v>8402.9999999999982</v>
      </c>
      <c r="K60" s="40">
        <f>SUM(Historical!K88:K91)</f>
        <v>10396.200000000001</v>
      </c>
      <c r="L60" s="40">
        <f>SUM(Historical!L88:L91)</f>
        <v>12157.699999999999</v>
      </c>
      <c r="M60" s="31">
        <f t="shared" ref="M60:Q60" si="47">L60</f>
        <v>12157.699999999999</v>
      </c>
      <c r="N60" s="31">
        <f t="shared" si="47"/>
        <v>12157.699999999999</v>
      </c>
      <c r="O60" s="31">
        <f t="shared" si="47"/>
        <v>12157.699999999999</v>
      </c>
      <c r="P60" s="31">
        <f t="shared" si="47"/>
        <v>12157.699999999999</v>
      </c>
      <c r="Q60" s="31">
        <f t="shared" si="47"/>
        <v>12157.699999999999</v>
      </c>
    </row>
    <row r="61" spans="2:17" outlineLevel="1" x14ac:dyDescent="0.3">
      <c r="C61" s="29" t="s">
        <v>189</v>
      </c>
      <c r="F61" s="30"/>
      <c r="H61" s="40"/>
      <c r="I61" s="40"/>
      <c r="J61" s="40"/>
      <c r="K61" s="40"/>
      <c r="L61" s="40"/>
    </row>
    <row r="62" spans="2:17" outlineLevel="1" x14ac:dyDescent="0.3">
      <c r="D62" s="3" t="s">
        <v>190</v>
      </c>
      <c r="F62" s="30" t="s">
        <v>185</v>
      </c>
      <c r="H62" s="40">
        <f>Historical!H74+Historical!H83+Historical!H75+Historical!H84</f>
        <v>9025.7000000000007</v>
      </c>
      <c r="I62" s="40">
        <f>Historical!I74+Historical!I83+Historical!I75+Historical!I84</f>
        <v>16627.5</v>
      </c>
      <c r="J62" s="40">
        <f>Historical!J74+Historical!J83+Historical!J75+Historical!J84</f>
        <v>17919.8</v>
      </c>
      <c r="K62" s="40">
        <f>Historical!K74+Historical!K83+Historical!K75+Historical!K84</f>
        <v>26681.9</v>
      </c>
      <c r="L62" s="40">
        <f>Historical!L74+Historical!L83+Historical!L75+Historical!L84</f>
        <v>13966.8</v>
      </c>
      <c r="M62" s="31">
        <f t="shared" ref="M62:Q62" si="48">M124</f>
        <v>13966.8</v>
      </c>
      <c r="N62" s="31">
        <f t="shared" si="48"/>
        <v>13966.8</v>
      </c>
      <c r="O62" s="31">
        <f t="shared" si="48"/>
        <v>13966.8</v>
      </c>
      <c r="P62" s="31">
        <f t="shared" si="48"/>
        <v>13966.8</v>
      </c>
      <c r="Q62" s="31">
        <f t="shared" si="48"/>
        <v>13966.8</v>
      </c>
    </row>
    <row r="63" spans="2:17" outlineLevel="1" x14ac:dyDescent="0.3">
      <c r="D63" s="5" t="s">
        <v>191</v>
      </c>
      <c r="E63" s="5"/>
      <c r="F63" s="39" t="s">
        <v>185</v>
      </c>
      <c r="G63" s="5"/>
      <c r="H63" s="41">
        <f>SUM(Historical!H76:H79)</f>
        <v>1874.1000000000001</v>
      </c>
      <c r="I63" s="41">
        <f>SUM(Historical!I76:I79)</f>
        <v>2318.1</v>
      </c>
      <c r="J63" s="41">
        <f>SUM(Historical!J76:J79)</f>
        <v>2595.6000000000004</v>
      </c>
      <c r="K63" s="41">
        <f>SUM(Historical!K76:K79)</f>
        <v>3406.7</v>
      </c>
      <c r="L63" s="41">
        <f>SUM(Historical!L76:L79)</f>
        <v>5441.7</v>
      </c>
      <c r="M63" s="73">
        <f t="shared" ref="M63:Q63" si="49">L63</f>
        <v>5441.7</v>
      </c>
      <c r="N63" s="73">
        <f t="shared" si="49"/>
        <v>5441.7</v>
      </c>
      <c r="O63" s="73">
        <f t="shared" si="49"/>
        <v>5441.7</v>
      </c>
      <c r="P63" s="73">
        <f t="shared" si="49"/>
        <v>5441.7</v>
      </c>
      <c r="Q63" s="73">
        <f t="shared" si="49"/>
        <v>5441.7</v>
      </c>
    </row>
    <row r="64" spans="2:17" outlineLevel="1" x14ac:dyDescent="0.3">
      <c r="D64" s="29" t="s">
        <v>89</v>
      </c>
      <c r="F64" s="30" t="s">
        <v>185</v>
      </c>
      <c r="H64" s="47">
        <f t="shared" ref="H64:Q64" si="50">SUM(H59:H63)</f>
        <v>26362.400000000001</v>
      </c>
      <c r="I64" s="47">
        <f t="shared" si="50"/>
        <v>36343.599999999999</v>
      </c>
      <c r="J64" s="47">
        <f t="shared" si="50"/>
        <v>39612.499999999993</v>
      </c>
      <c r="K64" s="47">
        <f t="shared" si="50"/>
        <v>52218.6</v>
      </c>
      <c r="L64" s="47">
        <f t="shared" si="50"/>
        <v>43216.299999999996</v>
      </c>
      <c r="M64" s="47">
        <f t="shared" si="50"/>
        <v>46599.995052005033</v>
      </c>
      <c r="N64" s="47">
        <f t="shared" si="50"/>
        <v>48155.464731237662</v>
      </c>
      <c r="O64" s="47">
        <f t="shared" si="50"/>
        <v>49614.409959026132</v>
      </c>
      <c r="P64" s="47">
        <f t="shared" si="50"/>
        <v>50963.574474993133</v>
      </c>
      <c r="Q64" s="47">
        <f t="shared" si="50"/>
        <v>52196.090718620515</v>
      </c>
    </row>
    <row r="65" spans="1:17" outlineLevel="1" x14ac:dyDescent="0.3">
      <c r="C65" s="29" t="s">
        <v>192</v>
      </c>
      <c r="F65" s="30"/>
    </row>
    <row r="66" spans="1:17" outlineLevel="1" x14ac:dyDescent="0.3">
      <c r="D66" s="3" t="s">
        <v>193</v>
      </c>
      <c r="F66" s="30" t="s">
        <v>185</v>
      </c>
      <c r="H66" s="40">
        <f>Historical!H66</f>
        <v>239.1</v>
      </c>
      <c r="I66" s="40">
        <f>Historical!I66</f>
        <v>239.1</v>
      </c>
      <c r="J66" s="40">
        <f>Historical!J66</f>
        <v>239.1</v>
      </c>
      <c r="K66" s="40">
        <f>Historical!K66</f>
        <v>239.1</v>
      </c>
      <c r="L66" s="40">
        <f>Historical!L66</f>
        <v>239.1</v>
      </c>
      <c r="M66" s="31">
        <f t="shared" ref="M66:Q66" si="51">L66</f>
        <v>239.1</v>
      </c>
      <c r="N66" s="31">
        <f t="shared" si="51"/>
        <v>239.1</v>
      </c>
      <c r="O66" s="31">
        <f t="shared" si="51"/>
        <v>239.1</v>
      </c>
      <c r="P66" s="31">
        <f t="shared" si="51"/>
        <v>239.1</v>
      </c>
      <c r="Q66" s="31">
        <f t="shared" si="51"/>
        <v>239.1</v>
      </c>
    </row>
    <row r="67" spans="1:17" outlineLevel="1" x14ac:dyDescent="0.3">
      <c r="D67" s="5" t="s">
        <v>194</v>
      </c>
      <c r="E67" s="5"/>
      <c r="F67" s="39" t="s">
        <v>185</v>
      </c>
      <c r="G67" s="5"/>
      <c r="H67" s="41">
        <f>Historical!H67</f>
        <v>54154.3</v>
      </c>
      <c r="I67" s="41">
        <f>Historical!I67</f>
        <v>61367.6</v>
      </c>
      <c r="J67" s="41">
        <f>Historical!J67</f>
        <v>73528.2</v>
      </c>
      <c r="K67" s="41">
        <f>Historical!K67</f>
        <v>86139.9</v>
      </c>
      <c r="L67" s="41">
        <f>Historical!L67</f>
        <v>90213.8</v>
      </c>
      <c r="M67" s="73">
        <f>L67+M38+M96</f>
        <v>102579.56233039781</v>
      </c>
      <c r="N67" s="73">
        <f t="shared" ref="N67:Q67" si="52">M67+N38+N96</f>
        <v>116408.32922378839</v>
      </c>
      <c r="O67" s="73">
        <f t="shared" si="52"/>
        <v>131632.0519907517</v>
      </c>
      <c r="P67" s="73">
        <f t="shared" si="52"/>
        <v>148165.74648091124</v>
      </c>
      <c r="Q67" s="73">
        <f t="shared" si="52"/>
        <v>165913.87501910704</v>
      </c>
    </row>
    <row r="68" spans="1:17" outlineLevel="1" x14ac:dyDescent="0.3">
      <c r="D68" s="29" t="s">
        <v>192</v>
      </c>
      <c r="F68" s="30" t="s">
        <v>185</v>
      </c>
      <c r="H68" s="47">
        <f t="shared" ref="H68:Q68" si="53">SUM(H66:H67)</f>
        <v>54393.4</v>
      </c>
      <c r="I68" s="47">
        <f t="shared" si="53"/>
        <v>61606.7</v>
      </c>
      <c r="J68" s="47">
        <f t="shared" si="53"/>
        <v>73767.3</v>
      </c>
      <c r="K68" s="47">
        <f t="shared" si="53"/>
        <v>86379</v>
      </c>
      <c r="L68" s="47">
        <f t="shared" si="53"/>
        <v>90452.900000000009</v>
      </c>
      <c r="M68" s="47">
        <f t="shared" si="53"/>
        <v>102818.66233039781</v>
      </c>
      <c r="N68" s="47">
        <f t="shared" si="53"/>
        <v>116647.42922378839</v>
      </c>
      <c r="O68" s="47">
        <f t="shared" si="53"/>
        <v>131871.15199075171</v>
      </c>
      <c r="P68" s="47">
        <f t="shared" si="53"/>
        <v>148404.84648091125</v>
      </c>
      <c r="Q68" s="47">
        <f t="shared" si="53"/>
        <v>166152.97501910705</v>
      </c>
    </row>
    <row r="69" spans="1:17" outlineLevel="1" x14ac:dyDescent="0.3">
      <c r="D69" s="3" t="s">
        <v>195</v>
      </c>
      <c r="F69" s="30" t="s">
        <v>185</v>
      </c>
      <c r="H69" s="40">
        <f>Historical!H69</f>
        <v>1326.1</v>
      </c>
      <c r="I69" s="40">
        <f>Historical!I69</f>
        <v>1483</v>
      </c>
      <c r="J69" s="40">
        <f>Historical!J69</f>
        <v>1812.8</v>
      </c>
      <c r="K69" s="40">
        <f>Historical!K69</f>
        <v>2094.3000000000002</v>
      </c>
      <c r="L69" s="40">
        <f>Historical!L69</f>
        <v>3897.1</v>
      </c>
      <c r="M69" s="31">
        <f t="shared" ref="M69:Q69" si="54">L69</f>
        <v>3897.1</v>
      </c>
      <c r="N69" s="31">
        <f t="shared" si="54"/>
        <v>3897.1</v>
      </c>
      <c r="O69" s="31">
        <f t="shared" si="54"/>
        <v>3897.1</v>
      </c>
      <c r="P69" s="31">
        <f t="shared" si="54"/>
        <v>3897.1</v>
      </c>
      <c r="Q69" s="31">
        <f t="shared" si="54"/>
        <v>3897.1</v>
      </c>
    </row>
    <row r="70" spans="1:17" ht="15" outlineLevel="1" thickBot="1" x14ac:dyDescent="0.35">
      <c r="D70" s="42" t="s">
        <v>196</v>
      </c>
      <c r="E70" s="43"/>
      <c r="F70" s="44" t="s">
        <v>185</v>
      </c>
      <c r="G70" s="43"/>
      <c r="H70" s="46">
        <f t="shared" ref="H70:Q70" si="55">H64+H68+H69</f>
        <v>82081.900000000009</v>
      </c>
      <c r="I70" s="46">
        <f t="shared" si="55"/>
        <v>99433.299999999988</v>
      </c>
      <c r="J70" s="46">
        <f t="shared" si="55"/>
        <v>115192.59999999999</v>
      </c>
      <c r="K70" s="46">
        <f t="shared" si="55"/>
        <v>140691.9</v>
      </c>
      <c r="L70" s="46">
        <f t="shared" si="55"/>
        <v>137566.30000000002</v>
      </c>
      <c r="M70" s="46">
        <f t="shared" si="55"/>
        <v>153315.75738240287</v>
      </c>
      <c r="N70" s="46">
        <f t="shared" si="55"/>
        <v>168699.99395502606</v>
      </c>
      <c r="O70" s="46">
        <f t="shared" si="55"/>
        <v>185382.66194977783</v>
      </c>
      <c r="P70" s="46">
        <f t="shared" si="55"/>
        <v>203265.52095590439</v>
      </c>
      <c r="Q70" s="46">
        <f t="shared" si="55"/>
        <v>222246.16573772757</v>
      </c>
    </row>
    <row r="71" spans="1:17" ht="15" outlineLevel="1" thickTop="1" x14ac:dyDescent="0.3"/>
    <row r="72" spans="1:17" outlineLevel="1" x14ac:dyDescent="0.3">
      <c r="D72" s="50" t="s">
        <v>197</v>
      </c>
      <c r="E72" s="50"/>
      <c r="F72" s="50"/>
      <c r="G72" s="50"/>
      <c r="H72" s="51">
        <f t="shared" ref="H72:Q72" si="56">H70-H55</f>
        <v>0</v>
      </c>
      <c r="I72" s="51">
        <f t="shared" si="56"/>
        <v>0</v>
      </c>
      <c r="J72" s="51">
        <f t="shared" si="56"/>
        <v>0</v>
      </c>
      <c r="K72" s="51">
        <f t="shared" si="56"/>
        <v>0</v>
      </c>
      <c r="L72" s="51">
        <f t="shared" si="56"/>
        <v>0</v>
      </c>
      <c r="M72" s="51">
        <f t="shared" si="56"/>
        <v>0</v>
      </c>
      <c r="N72" s="51">
        <f t="shared" si="56"/>
        <v>0</v>
      </c>
      <c r="O72" s="51">
        <f t="shared" si="56"/>
        <v>0</v>
      </c>
      <c r="P72" s="51">
        <f t="shared" si="56"/>
        <v>0</v>
      </c>
      <c r="Q72" s="51">
        <f t="shared" si="56"/>
        <v>0</v>
      </c>
    </row>
    <row r="73" spans="1:17" outlineLevel="1" x14ac:dyDescent="0.3">
      <c r="D73" s="50"/>
      <c r="E73" s="50"/>
      <c r="F73" s="50"/>
      <c r="G73" s="50"/>
      <c r="H73" s="51"/>
      <c r="I73" s="51"/>
      <c r="J73" s="51"/>
      <c r="K73" s="51"/>
      <c r="L73" s="51"/>
    </row>
    <row r="75" spans="1:17" ht="21" x14ac:dyDescent="0.4">
      <c r="A75" s="28" t="s">
        <v>199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outlineLevel="1" x14ac:dyDescent="0.3"/>
    <row r="77" spans="1:17" outlineLevel="1" x14ac:dyDescent="0.3">
      <c r="C77" s="29" t="s">
        <v>200</v>
      </c>
      <c r="F77" s="30" t="s">
        <v>185</v>
      </c>
    </row>
    <row r="78" spans="1:17" outlineLevel="1" x14ac:dyDescent="0.3">
      <c r="D78" s="3" t="s">
        <v>171</v>
      </c>
      <c r="F78" s="30" t="s">
        <v>185</v>
      </c>
      <c r="H78" s="40">
        <f>Historical!H99+Historical!H126</f>
        <v>7035.5</v>
      </c>
      <c r="I78" s="40">
        <f>Historical!I99+Historical!I126</f>
        <v>9764.0999999999985</v>
      </c>
      <c r="J78" s="40">
        <f>Historical!J99+Historical!J126</f>
        <v>14414.2</v>
      </c>
      <c r="K78" s="40">
        <f>Historical!K99+Historical!K126</f>
        <v>14473.8</v>
      </c>
      <c r="L78" s="40">
        <f>Historical!L99+Historical!L126</f>
        <v>10313.800000000001</v>
      </c>
      <c r="M78" s="31">
        <f t="shared" ref="M78:Q78" si="57">M38</f>
        <v>18450.61551681365</v>
      </c>
      <c r="N78" s="31">
        <f t="shared" si="57"/>
        <v>20633.524582174545</v>
      </c>
      <c r="O78" s="31">
        <f t="shared" si="57"/>
        <v>22714.90006057448</v>
      </c>
      <c r="P78" s="31">
        <f t="shared" si="57"/>
        <v>24669.473014251304</v>
      </c>
      <c r="Q78" s="31">
        <f t="shared" si="57"/>
        <v>26481.49681773028</v>
      </c>
    </row>
    <row r="79" spans="1:17" outlineLevel="1" x14ac:dyDescent="0.3">
      <c r="D79" s="3" t="s">
        <v>214</v>
      </c>
      <c r="F79" s="30" t="s">
        <v>185</v>
      </c>
      <c r="H79" s="40">
        <f>Historical!H101</f>
        <v>1931.8</v>
      </c>
      <c r="I79" s="40">
        <f>Historical!I101</f>
        <v>2527.6</v>
      </c>
      <c r="J79" s="40">
        <f>Historical!J101</f>
        <v>2745.8</v>
      </c>
      <c r="K79" s="40">
        <f>Historical!K101</f>
        <v>3039.6</v>
      </c>
      <c r="L79" s="40">
        <f>Historical!L101</f>
        <v>3104.2</v>
      </c>
      <c r="M79" s="31">
        <f t="shared" ref="M79:Q79" si="58">-M118</f>
        <v>2654.5801895336244</v>
      </c>
      <c r="N79" s="31">
        <f t="shared" si="58"/>
        <v>2673.4470835373563</v>
      </c>
      <c r="O79" s="31">
        <f t="shared" si="58"/>
        <v>2651.5431000022754</v>
      </c>
      <c r="P79" s="31">
        <f t="shared" si="58"/>
        <v>2596.4875313027046</v>
      </c>
      <c r="Q79" s="31">
        <f t="shared" si="58"/>
        <v>2515.327522976278</v>
      </c>
    </row>
    <row r="80" spans="1:17" outlineLevel="1" x14ac:dyDescent="0.3">
      <c r="D80" s="3" t="s">
        <v>215</v>
      </c>
      <c r="F80" s="30" t="s">
        <v>185</v>
      </c>
      <c r="H80" s="40">
        <f>Historical!H116-Historical!H101</f>
        <v>231.89999999999986</v>
      </c>
      <c r="I80" s="40">
        <f>Historical!I116-Historical!I101</f>
        <v>31.099999999999909</v>
      </c>
      <c r="J80" s="40">
        <f>Historical!J116-Historical!J101</f>
        <v>-1099.4000000000001</v>
      </c>
      <c r="K80" s="40">
        <f>Historical!K116-Historical!K101</f>
        <v>-953.59999999999991</v>
      </c>
      <c r="L80" s="40">
        <f>Historical!L116-Historical!L101</f>
        <v>139.30000000000018</v>
      </c>
      <c r="M80" s="31">
        <f t="shared" ref="M80:Q80" si="59">-M34-M35</f>
        <v>-1316.9501897525824</v>
      </c>
      <c r="N80" s="31">
        <f t="shared" si="59"/>
        <v>-1517.1455334329839</v>
      </c>
      <c r="O80" s="31">
        <f t="shared" si="59"/>
        <v>-1704.9177833119329</v>
      </c>
      <c r="P80" s="31">
        <f t="shared" si="59"/>
        <v>-1878.5608041702171</v>
      </c>
      <c r="Q80" s="31">
        <f t="shared" si="59"/>
        <v>-2037.1907127303052</v>
      </c>
    </row>
    <row r="81" spans="3:17" outlineLevel="1" x14ac:dyDescent="0.3">
      <c r="D81" s="5" t="s">
        <v>201</v>
      </c>
      <c r="E81" s="5"/>
      <c r="F81" s="39" t="s">
        <v>185</v>
      </c>
      <c r="G81" s="5"/>
      <c r="H81" s="54">
        <f t="shared" ref="H81:L81" si="60">H113</f>
        <v>-1402.7</v>
      </c>
      <c r="I81" s="54">
        <f t="shared" si="60"/>
        <v>-6472</v>
      </c>
      <c r="J81" s="54">
        <f t="shared" si="60"/>
        <v>-3411.6000000000004</v>
      </c>
      <c r="K81" s="54">
        <f t="shared" si="60"/>
        <v>-5449.6</v>
      </c>
      <c r="L81" s="54">
        <f t="shared" si="60"/>
        <v>3267.7000000000003</v>
      </c>
      <c r="M81" s="73">
        <f t="shared" ref="M81:Q81" si="61">M113</f>
        <v>-3931.637603482066</v>
      </c>
      <c r="N81" s="73">
        <f t="shared" si="61"/>
        <v>-4105.3451568267956</v>
      </c>
      <c r="O81" s="73">
        <f t="shared" si="61"/>
        <v>-3850.5885424470871</v>
      </c>
      <c r="P81" s="73">
        <f t="shared" si="61"/>
        <v>-3560.8447309112744</v>
      </c>
      <c r="Q81" s="73">
        <f t="shared" si="61"/>
        <v>-3252.9753932473141</v>
      </c>
    </row>
    <row r="82" spans="3:17" outlineLevel="1" x14ac:dyDescent="0.3">
      <c r="D82" s="29" t="s">
        <v>202</v>
      </c>
      <c r="F82" s="30"/>
      <c r="H82" s="52">
        <f t="shared" ref="H82:Q82" si="62">SUM(H78:H81)</f>
        <v>7796.4999999999991</v>
      </c>
      <c r="I82" s="52">
        <f t="shared" si="62"/>
        <v>5850.7999999999993</v>
      </c>
      <c r="J82" s="52">
        <f t="shared" si="62"/>
        <v>12649</v>
      </c>
      <c r="K82" s="52">
        <f t="shared" si="62"/>
        <v>11110.199999999999</v>
      </c>
      <c r="L82" s="52">
        <f t="shared" si="62"/>
        <v>16825</v>
      </c>
      <c r="M82" s="52">
        <f t="shared" si="62"/>
        <v>15856.607913112623</v>
      </c>
      <c r="N82" s="52">
        <f t="shared" si="62"/>
        <v>17684.480975452123</v>
      </c>
      <c r="O82" s="52">
        <f t="shared" si="62"/>
        <v>19810.936834817738</v>
      </c>
      <c r="P82" s="52">
        <f t="shared" si="62"/>
        <v>21826.555010472515</v>
      </c>
      <c r="Q82" s="52">
        <f t="shared" si="62"/>
        <v>23706.658234728937</v>
      </c>
    </row>
    <row r="83" spans="3:17" outlineLevel="1" x14ac:dyDescent="0.3">
      <c r="F83" s="30"/>
      <c r="H83" s="40"/>
      <c r="I83" s="40"/>
      <c r="J83" s="40"/>
      <c r="K83" s="40"/>
      <c r="L83" s="40"/>
    </row>
    <row r="84" spans="3:17" outlineLevel="1" x14ac:dyDescent="0.3">
      <c r="C84" s="29" t="s">
        <v>203</v>
      </c>
      <c r="F84" s="30"/>
      <c r="H84" s="40"/>
      <c r="I84" s="40"/>
      <c r="J84" s="40"/>
      <c r="K84" s="40"/>
      <c r="L84" s="40"/>
    </row>
    <row r="85" spans="3:17" outlineLevel="1" x14ac:dyDescent="0.3">
      <c r="D85" s="3" t="s">
        <v>204</v>
      </c>
      <c r="F85" s="30" t="s">
        <v>185</v>
      </c>
      <c r="H85" s="40">
        <f>Historical!H129</f>
        <v>-5291.6</v>
      </c>
      <c r="I85" s="40">
        <f>Historical!I129</f>
        <v>-3630.9</v>
      </c>
      <c r="J85" s="40">
        <f>Historical!J129</f>
        <v>-1949.1</v>
      </c>
      <c r="K85" s="40">
        <f>Historical!K129</f>
        <v>-3388.8</v>
      </c>
      <c r="L85" s="40">
        <f>Historical!L129</f>
        <v>-2329.1</v>
      </c>
      <c r="M85" s="31">
        <f t="shared" ref="M85:Q85" si="63">-M117</f>
        <v>-2838.8653343379042</v>
      </c>
      <c r="N85" s="31">
        <f t="shared" si="63"/>
        <v>-2459.4967228285723</v>
      </c>
      <c r="O85" s="31">
        <f t="shared" si="63"/>
        <v>-2113.7797856975885</v>
      </c>
      <c r="P85" s="31">
        <f t="shared" si="63"/>
        <v>-1803.7452874657881</v>
      </c>
      <c r="Q85" s="31">
        <f t="shared" si="63"/>
        <v>-1529.6467659132179</v>
      </c>
    </row>
    <row r="86" spans="3:17" outlineLevel="1" x14ac:dyDescent="0.3">
      <c r="D86" s="3" t="s">
        <v>124</v>
      </c>
      <c r="F86" s="30" t="s">
        <v>185</v>
      </c>
      <c r="H86" s="40">
        <f>Historical!H130</f>
        <v>22.3</v>
      </c>
      <c r="I86" s="40">
        <f>Historical!I130</f>
        <v>154.5</v>
      </c>
      <c r="J86" s="40">
        <f>Historical!J130</f>
        <v>104.6</v>
      </c>
      <c r="K86" s="40">
        <f>Historical!K130</f>
        <v>109</v>
      </c>
      <c r="L86" s="40">
        <f>Historical!L130</f>
        <v>32</v>
      </c>
    </row>
    <row r="87" spans="3:17" outlineLevel="1" x14ac:dyDescent="0.3">
      <c r="D87" s="3" t="s">
        <v>205</v>
      </c>
      <c r="F87" s="30" t="s">
        <v>185</v>
      </c>
      <c r="H87" s="40">
        <f>Historical!H131+Historical!H134+Historical!H132+Historical!H133</f>
        <v>1662.2</v>
      </c>
      <c r="I87" s="40">
        <f>Historical!I131+Historical!I134+Historical!I132+Historical!I133</f>
        <v>-4453.8999999999996</v>
      </c>
      <c r="J87" s="40">
        <f>Historical!J131+Historical!J134+Historical!J132+Historical!J133</f>
        <v>-8935.1999999999989</v>
      </c>
      <c r="K87" s="40">
        <f>Historical!K131+Historical!K134+Historical!K132+Historical!K133</f>
        <v>-12051.099999999999</v>
      </c>
      <c r="L87" s="40">
        <f>Historical!L131+Historical!L134+Historical!L132+Historical!L133</f>
        <v>1954.5</v>
      </c>
      <c r="M87" s="31">
        <f t="shared" ref="M87:Q87" si="64">L53-M53</f>
        <v>0</v>
      </c>
      <c r="N87" s="31">
        <f t="shared" si="64"/>
        <v>0</v>
      </c>
      <c r="O87" s="31">
        <f t="shared" si="64"/>
        <v>0</v>
      </c>
      <c r="P87" s="31">
        <f t="shared" si="64"/>
        <v>0</v>
      </c>
      <c r="Q87" s="31">
        <f t="shared" si="64"/>
        <v>0</v>
      </c>
    </row>
    <row r="88" spans="3:17" outlineLevel="1" x14ac:dyDescent="0.3">
      <c r="D88" s="3" t="s">
        <v>128</v>
      </c>
      <c r="F88" s="30" t="s">
        <v>185</v>
      </c>
      <c r="H88" s="40">
        <f>Historical!H135</f>
        <v>1.2</v>
      </c>
      <c r="I88" s="40">
        <f>Historical!I135</f>
        <v>1.1000000000000001</v>
      </c>
      <c r="J88" s="40">
        <f>Historical!J135</f>
        <v>0.2</v>
      </c>
      <c r="K88" s="40">
        <f>Historical!K135</f>
        <v>1.9</v>
      </c>
      <c r="L88" s="40">
        <f>Historical!L135</f>
        <v>1.9</v>
      </c>
    </row>
    <row r="89" spans="3:17" outlineLevel="1" x14ac:dyDescent="0.3">
      <c r="D89" s="3" t="s">
        <v>129</v>
      </c>
      <c r="F89" s="30" t="s">
        <v>185</v>
      </c>
      <c r="H89" s="40">
        <f>Historical!H136</f>
        <v>436.7</v>
      </c>
      <c r="I89" s="40">
        <f>Historical!I136</f>
        <v>509.2</v>
      </c>
      <c r="J89" s="40">
        <f>Historical!J136</f>
        <v>785.7</v>
      </c>
      <c r="K89" s="40">
        <f>Historical!K136</f>
        <v>977.7</v>
      </c>
      <c r="L89" s="40">
        <f>Historical!L136</f>
        <v>1469.1</v>
      </c>
      <c r="M89" s="31">
        <f t="shared" ref="M89:Q89" si="65">M35</f>
        <v>1934.9112409196498</v>
      </c>
      <c r="N89" s="31">
        <f t="shared" si="65"/>
        <v>2135.1065846000515</v>
      </c>
      <c r="O89" s="31">
        <f t="shared" si="65"/>
        <v>2322.8788344790005</v>
      </c>
      <c r="P89" s="31">
        <f t="shared" si="65"/>
        <v>2496.5218553372847</v>
      </c>
      <c r="Q89" s="31">
        <f t="shared" si="65"/>
        <v>2655.1517638973728</v>
      </c>
    </row>
    <row r="90" spans="3:17" outlineLevel="1" x14ac:dyDescent="0.3">
      <c r="D90" s="5" t="s">
        <v>130</v>
      </c>
      <c r="E90" s="5"/>
      <c r="F90" s="39" t="s">
        <v>185</v>
      </c>
      <c r="G90" s="5"/>
      <c r="H90" s="41">
        <f>Historical!H137</f>
        <v>5.3</v>
      </c>
      <c r="I90" s="41">
        <f>Historical!I137</f>
        <v>6.5</v>
      </c>
      <c r="J90" s="41">
        <f>Historical!J137</f>
        <v>8.4</v>
      </c>
      <c r="K90" s="41">
        <f>Historical!K137</f>
        <v>0</v>
      </c>
      <c r="L90" s="41">
        <f>Historical!L137</f>
        <v>0</v>
      </c>
      <c r="M90" s="5"/>
      <c r="N90" s="5"/>
      <c r="O90" s="5"/>
      <c r="P90" s="5"/>
      <c r="Q90" s="5"/>
    </row>
    <row r="91" spans="3:17" outlineLevel="1" x14ac:dyDescent="0.3">
      <c r="D91" s="29" t="s">
        <v>206</v>
      </c>
      <c r="F91" s="30" t="s">
        <v>185</v>
      </c>
      <c r="H91" s="52">
        <f t="shared" ref="H91:Q91" si="66">SUM(H85:H90)</f>
        <v>-3163.9000000000005</v>
      </c>
      <c r="I91" s="52">
        <f t="shared" si="66"/>
        <v>-7413.4999999999991</v>
      </c>
      <c r="J91" s="52">
        <f t="shared" si="66"/>
        <v>-9985.3999999999978</v>
      </c>
      <c r="K91" s="52">
        <f t="shared" si="66"/>
        <v>-14351.299999999997</v>
      </c>
      <c r="L91" s="52">
        <f t="shared" si="66"/>
        <v>1128.4000000000001</v>
      </c>
      <c r="M91" s="52">
        <f t="shared" si="66"/>
        <v>-903.95409341825439</v>
      </c>
      <c r="N91" s="52">
        <f t="shared" si="66"/>
        <v>-324.39013822852075</v>
      </c>
      <c r="O91" s="52">
        <f t="shared" si="66"/>
        <v>209.09904878141197</v>
      </c>
      <c r="P91" s="52">
        <f t="shared" si="66"/>
        <v>692.77656787149658</v>
      </c>
      <c r="Q91" s="52">
        <f t="shared" si="66"/>
        <v>1125.5049979841549</v>
      </c>
    </row>
    <row r="92" spans="3:17" outlineLevel="1" x14ac:dyDescent="0.3">
      <c r="F92" s="30"/>
      <c r="H92" s="40"/>
      <c r="I92" s="40"/>
      <c r="J92" s="40"/>
      <c r="K92" s="40"/>
      <c r="L92" s="40"/>
    </row>
    <row r="93" spans="3:17" outlineLevel="1" x14ac:dyDescent="0.3">
      <c r="C93" s="29" t="s">
        <v>207</v>
      </c>
      <c r="F93" s="30"/>
      <c r="H93" s="40"/>
      <c r="I93" s="40"/>
      <c r="J93" s="40"/>
      <c r="K93" s="40"/>
      <c r="L93" s="40"/>
    </row>
    <row r="94" spans="3:17" outlineLevel="1" x14ac:dyDescent="0.3">
      <c r="D94" s="3" t="s">
        <v>208</v>
      </c>
      <c r="F94" s="30" t="s">
        <v>185</v>
      </c>
      <c r="H94" s="40">
        <f>Historical!H140+Historical!H141+Historical!H144</f>
        <v>-1057.3</v>
      </c>
      <c r="I94" s="40">
        <f>Historical!I140+Historical!I141+Historical!I144</f>
        <v>5837.7</v>
      </c>
      <c r="J94" s="40">
        <f>Historical!J140+Historical!J141+Historical!J144</f>
        <v>1166.5000000000002</v>
      </c>
      <c r="K94" s="40">
        <f>Historical!K140+Historical!K141+Historical!K144</f>
        <v>8416.1</v>
      </c>
      <c r="L94" s="40">
        <f>Historical!L140+Historical!L141+Historical!L144</f>
        <v>-13023.199999999999</v>
      </c>
      <c r="M94" s="31">
        <f t="shared" ref="M94:Q94" si="67">M123</f>
        <v>0</v>
      </c>
      <c r="N94" s="31">
        <f t="shared" si="67"/>
        <v>0</v>
      </c>
      <c r="O94" s="31">
        <f t="shared" si="67"/>
        <v>0</v>
      </c>
      <c r="P94" s="31">
        <f t="shared" si="67"/>
        <v>0</v>
      </c>
      <c r="Q94" s="31">
        <f t="shared" si="67"/>
        <v>0</v>
      </c>
    </row>
    <row r="95" spans="3:17" outlineLevel="1" x14ac:dyDescent="0.3">
      <c r="D95" s="3" t="s">
        <v>209</v>
      </c>
      <c r="F95" s="30" t="s">
        <v>185</v>
      </c>
      <c r="H95" s="40">
        <f>Historical!H142</f>
        <v>0</v>
      </c>
      <c r="I95" s="40">
        <f>Historical!I142</f>
        <v>0</v>
      </c>
      <c r="J95" s="40">
        <f>Historical!J142</f>
        <v>0</v>
      </c>
      <c r="K95" s="40">
        <f>Historical!K142</f>
        <v>0</v>
      </c>
      <c r="L95" s="40">
        <f>Historical!L142</f>
        <v>1614.8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</row>
    <row r="96" spans="3:17" outlineLevel="1" x14ac:dyDescent="0.3">
      <c r="D96" s="3" t="s">
        <v>136</v>
      </c>
      <c r="F96" s="30" t="s">
        <v>185</v>
      </c>
      <c r="H96" s="40">
        <f>Historical!H143</f>
        <v>-2185.8000000000002</v>
      </c>
      <c r="I96" s="40">
        <f>Historical!I143</f>
        <v>-4395.6000000000004</v>
      </c>
      <c r="J96" s="40">
        <f>Historical!J143</f>
        <v>-3347.8</v>
      </c>
      <c r="K96" s="40">
        <f>Historical!K143</f>
        <v>-4219.1000000000004</v>
      </c>
      <c r="L96" s="40">
        <f>Historical!L143</f>
        <v>-5295.2</v>
      </c>
      <c r="M96" s="31">
        <f t="shared" ref="M96:Q96" si="68">-M38*M16</f>
        <v>-6084.8531864158458</v>
      </c>
      <c r="N96" s="31">
        <f t="shared" si="68"/>
        <v>-6804.7576887839668</v>
      </c>
      <c r="O96" s="31">
        <f t="shared" si="68"/>
        <v>-7491.1772936111574</v>
      </c>
      <c r="P96" s="31">
        <f t="shared" si="68"/>
        <v>-8135.7785240917638</v>
      </c>
      <c r="Q96" s="31">
        <f t="shared" si="68"/>
        <v>-8733.3682795344885</v>
      </c>
    </row>
    <row r="97" spans="1:17" outlineLevel="1" x14ac:dyDescent="0.3">
      <c r="D97" s="5" t="s">
        <v>138</v>
      </c>
      <c r="E97" s="5"/>
      <c r="F97" s="39" t="s">
        <v>185</v>
      </c>
      <c r="G97" s="5"/>
      <c r="H97" s="41">
        <f>Historical!H145</f>
        <v>-546.29999999999995</v>
      </c>
      <c r="I97" s="41">
        <f>Historical!I145</f>
        <v>-650.6</v>
      </c>
      <c r="J97" s="41">
        <f>Historical!J145</f>
        <v>-536.20000000000005</v>
      </c>
      <c r="K97" s="41">
        <f>Historical!K145</f>
        <v>-401.3</v>
      </c>
      <c r="L97" s="41">
        <f>Historical!L145</f>
        <v>-904.6</v>
      </c>
      <c r="M97" s="73">
        <f t="shared" ref="M97:Q97" si="69">M125</f>
        <v>-617.96105116706747</v>
      </c>
      <c r="N97" s="73">
        <f t="shared" si="69"/>
        <v>-617.96105116706747</v>
      </c>
      <c r="O97" s="73">
        <f t="shared" si="69"/>
        <v>-617.96105116706747</v>
      </c>
      <c r="P97" s="73">
        <f t="shared" si="69"/>
        <v>-617.96105116706747</v>
      </c>
      <c r="Q97" s="73">
        <f t="shared" si="69"/>
        <v>-617.96105116706747</v>
      </c>
    </row>
    <row r="98" spans="1:17" outlineLevel="1" x14ac:dyDescent="0.3">
      <c r="D98" s="29" t="s">
        <v>210</v>
      </c>
      <c r="F98" s="30" t="s">
        <v>185</v>
      </c>
      <c r="H98" s="52">
        <f t="shared" ref="H98:Q98" si="70">SUM(H94:H97)</f>
        <v>-3789.4000000000005</v>
      </c>
      <c r="I98" s="52">
        <f t="shared" si="70"/>
        <v>791.49999999999943</v>
      </c>
      <c r="J98" s="52">
        <f t="shared" si="70"/>
        <v>-2717.5</v>
      </c>
      <c r="K98" s="52">
        <f t="shared" si="70"/>
        <v>3795.7</v>
      </c>
      <c r="L98" s="52">
        <f t="shared" si="70"/>
        <v>-17608.199999999997</v>
      </c>
      <c r="M98" s="52">
        <f t="shared" si="70"/>
        <v>-6702.8142375829129</v>
      </c>
      <c r="N98" s="52">
        <f t="shared" si="70"/>
        <v>-7422.718739951034</v>
      </c>
      <c r="O98" s="52">
        <f t="shared" si="70"/>
        <v>-8109.1383447782246</v>
      </c>
      <c r="P98" s="52">
        <f t="shared" si="70"/>
        <v>-8753.7395752588309</v>
      </c>
      <c r="Q98" s="52">
        <f t="shared" si="70"/>
        <v>-9351.3293307015556</v>
      </c>
    </row>
    <row r="99" spans="1:17" outlineLevel="1" x14ac:dyDescent="0.3">
      <c r="F99" s="30"/>
      <c r="H99" s="40"/>
      <c r="I99" s="40"/>
      <c r="J99" s="40"/>
      <c r="K99" s="40"/>
      <c r="L99" s="40"/>
    </row>
    <row r="100" spans="1:17" outlineLevel="1" x14ac:dyDescent="0.3">
      <c r="D100" s="3" t="s">
        <v>211</v>
      </c>
      <c r="F100" s="30" t="s">
        <v>185</v>
      </c>
      <c r="H100" s="40">
        <f t="shared" ref="H100:L100" si="71">H82+H91+H98</f>
        <v>843.199999999998</v>
      </c>
      <c r="I100" s="40">
        <f t="shared" si="71"/>
        <v>-771.20000000000039</v>
      </c>
      <c r="J100" s="40">
        <f t="shared" si="71"/>
        <v>-53.899999999997817</v>
      </c>
      <c r="K100" s="40">
        <f t="shared" si="71"/>
        <v>554.60000000000127</v>
      </c>
      <c r="L100" s="40">
        <f t="shared" si="71"/>
        <v>345.20000000000437</v>
      </c>
      <c r="M100" s="31">
        <f t="shared" ref="M100:Q100" si="72">M98+M91+M82</f>
        <v>8249.8395821114555</v>
      </c>
      <c r="N100" s="31">
        <f t="shared" si="72"/>
        <v>9937.3720972725678</v>
      </c>
      <c r="O100" s="31">
        <f t="shared" si="72"/>
        <v>11910.897538820926</v>
      </c>
      <c r="P100" s="31">
        <f t="shared" si="72"/>
        <v>13765.592003085181</v>
      </c>
      <c r="Q100" s="31">
        <f t="shared" si="72"/>
        <v>15480.833902011536</v>
      </c>
    </row>
    <row r="101" spans="1:17" outlineLevel="1" x14ac:dyDescent="0.3">
      <c r="D101" s="5" t="s">
        <v>212</v>
      </c>
      <c r="E101" s="5"/>
      <c r="F101" s="39" t="s">
        <v>185</v>
      </c>
      <c r="G101" s="5"/>
      <c r="H101" s="41">
        <f>Historical!H148+Historical!H149</f>
        <v>1647.3</v>
      </c>
      <c r="I101" s="41">
        <f>Historical!I148+Historical!I149</f>
        <v>2530.6</v>
      </c>
      <c r="J101" s="41">
        <f>Historical!J148+Historical!J149</f>
        <v>1796.1000000000001</v>
      </c>
      <c r="K101" s="41">
        <f>Historical!K148+Historical!K149</f>
        <v>1767.2</v>
      </c>
      <c r="L101" s="41">
        <f>Historical!L148+Historical!L149</f>
        <v>2392.8000000000002</v>
      </c>
      <c r="M101" s="73">
        <f t="shared" ref="M101:Q101" si="73">L102</f>
        <v>2738.0000000000045</v>
      </c>
      <c r="N101" s="73">
        <f t="shared" si="73"/>
        <v>10987.839582111461</v>
      </c>
      <c r="O101" s="73">
        <f t="shared" si="73"/>
        <v>20925.211679384029</v>
      </c>
      <c r="P101" s="73">
        <f t="shared" si="73"/>
        <v>32836.109218204954</v>
      </c>
      <c r="Q101" s="73">
        <f t="shared" si="73"/>
        <v>46601.701221290132</v>
      </c>
    </row>
    <row r="102" spans="1:17" outlineLevel="1" x14ac:dyDescent="0.3">
      <c r="D102" s="29" t="s">
        <v>213</v>
      </c>
      <c r="E102" s="29"/>
      <c r="F102" s="30" t="s">
        <v>185</v>
      </c>
      <c r="G102" s="29"/>
      <c r="H102" s="52">
        <f t="shared" ref="H102:L102" si="74">SUM(H100:H101)</f>
        <v>2490.4999999999982</v>
      </c>
      <c r="I102" s="52">
        <f t="shared" si="74"/>
        <v>1759.3999999999996</v>
      </c>
      <c r="J102" s="52">
        <f t="shared" si="74"/>
        <v>1742.2000000000023</v>
      </c>
      <c r="K102" s="52">
        <f t="shared" si="74"/>
        <v>2321.8000000000011</v>
      </c>
      <c r="L102" s="52">
        <f t="shared" si="74"/>
        <v>2738.0000000000045</v>
      </c>
      <c r="M102" s="33">
        <f t="shared" ref="M102:Q102" si="75">SUM(M100:M101)</f>
        <v>10987.839582111461</v>
      </c>
      <c r="N102" s="33">
        <f t="shared" si="75"/>
        <v>20925.211679384029</v>
      </c>
      <c r="O102" s="33">
        <f t="shared" si="75"/>
        <v>32836.109218204954</v>
      </c>
      <c r="P102" s="33">
        <f t="shared" si="75"/>
        <v>46601.701221290132</v>
      </c>
      <c r="Q102" s="33">
        <f t="shared" si="75"/>
        <v>62082.53512330167</v>
      </c>
    </row>
    <row r="103" spans="1:17" outlineLevel="1" x14ac:dyDescent="0.3">
      <c r="D103" s="29"/>
      <c r="E103" s="29"/>
      <c r="F103" s="30"/>
      <c r="G103" s="29"/>
      <c r="H103" s="52"/>
      <c r="I103" s="52"/>
      <c r="J103" s="52"/>
      <c r="K103" s="52"/>
      <c r="L103" s="52"/>
    </row>
    <row r="104" spans="1:17" outlineLevel="1" x14ac:dyDescent="0.3"/>
    <row r="106" spans="1:17" ht="21" x14ac:dyDescent="0.4">
      <c r="A106" s="28" t="s">
        <v>216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outlineLevel="1" x14ac:dyDescent="0.3"/>
    <row r="108" spans="1:17" outlineLevel="1" x14ac:dyDescent="0.3">
      <c r="C108" s="29" t="s">
        <v>217</v>
      </c>
    </row>
    <row r="109" spans="1:17" outlineLevel="1" x14ac:dyDescent="0.3">
      <c r="D109" s="3" t="s">
        <v>178</v>
      </c>
      <c r="F109" s="30" t="s">
        <v>185</v>
      </c>
      <c r="H109" s="40">
        <f>Historical!H119</f>
        <v>-1558.5</v>
      </c>
      <c r="I109" s="40">
        <f>Historical!I119</f>
        <v>-2574.4</v>
      </c>
      <c r="J109" s="40">
        <f>Historical!J119</f>
        <v>-257.60000000000002</v>
      </c>
      <c r="K109" s="40">
        <f>Historical!K119</f>
        <v>-2217.5</v>
      </c>
      <c r="L109" s="40">
        <f>Historical!L119</f>
        <v>-1347.1</v>
      </c>
      <c r="M109" s="31">
        <f>L47-M47</f>
        <v>-2350.3604917961893</v>
      </c>
      <c r="N109" s="31">
        <f t="shared" ref="N109:Q110" si="76">M47-N47</f>
        <v>-2449.2370528894826</v>
      </c>
      <c r="O109" s="31">
        <f t="shared" si="76"/>
        <v>-2297.2499931973434</v>
      </c>
      <c r="P109" s="31">
        <f t="shared" si="76"/>
        <v>-2124.3896728223663</v>
      </c>
      <c r="Q109" s="31">
        <f t="shared" si="76"/>
        <v>-1940.7157159563467</v>
      </c>
    </row>
    <row r="110" spans="1:17" outlineLevel="1" x14ac:dyDescent="0.3">
      <c r="D110" s="3" t="s">
        <v>179</v>
      </c>
      <c r="F110" s="30" t="s">
        <v>185</v>
      </c>
      <c r="H110" s="40">
        <f>Historical!H121</f>
        <v>-373</v>
      </c>
      <c r="I110" s="40">
        <f>Historical!I121</f>
        <v>-2817.4</v>
      </c>
      <c r="J110" s="40">
        <f>Historical!J121</f>
        <v>-4977</v>
      </c>
      <c r="K110" s="40">
        <f>Historical!K121</f>
        <v>-6731.4</v>
      </c>
      <c r="L110" s="40">
        <f>Historical!L121</f>
        <v>4734.1000000000004</v>
      </c>
      <c r="M110" s="31">
        <f>L48-M48</f>
        <v>-4964.9721636909198</v>
      </c>
      <c r="N110" s="31">
        <f t="shared" si="76"/>
        <v>-3211.5777831699306</v>
      </c>
      <c r="O110" s="31">
        <f t="shared" si="76"/>
        <v>-3012.2837770382175</v>
      </c>
      <c r="P110" s="31">
        <f t="shared" si="76"/>
        <v>-2785.6195740559124</v>
      </c>
      <c r="Q110" s="31">
        <f t="shared" si="76"/>
        <v>-2544.7759209183423</v>
      </c>
    </row>
    <row r="111" spans="1:17" outlineLevel="1" x14ac:dyDescent="0.3">
      <c r="D111" s="3" t="s">
        <v>187</v>
      </c>
      <c r="F111" s="30" t="s">
        <v>185</v>
      </c>
      <c r="H111" s="40">
        <f>Historical!H122</f>
        <v>-109.5</v>
      </c>
      <c r="I111" s="40">
        <f>Historical!I122</f>
        <v>-37.4</v>
      </c>
      <c r="J111" s="40">
        <f>Historical!J122</f>
        <v>2124.1999999999998</v>
      </c>
      <c r="K111" s="40">
        <f>Historical!K122</f>
        <v>3344.9</v>
      </c>
      <c r="L111" s="40">
        <f>Historical!L122</f>
        <v>145.1</v>
      </c>
      <c r="M111" s="31">
        <f t="shared" ref="M111:Q111" si="77">M59-L59</f>
        <v>3383.6950520050432</v>
      </c>
      <c r="N111" s="31">
        <f t="shared" si="77"/>
        <v>1555.4696792326176</v>
      </c>
      <c r="O111" s="31">
        <f t="shared" si="77"/>
        <v>1458.9452277884739</v>
      </c>
      <c r="P111" s="31">
        <f t="shared" si="77"/>
        <v>1349.1645159670043</v>
      </c>
      <c r="Q111" s="31">
        <f t="shared" si="77"/>
        <v>1232.5162436273749</v>
      </c>
    </row>
    <row r="112" spans="1:17" outlineLevel="1" x14ac:dyDescent="0.3">
      <c r="D112" s="3" t="s">
        <v>218</v>
      </c>
      <c r="F112" s="30" t="s">
        <v>185</v>
      </c>
      <c r="H112" s="40">
        <f>Historical!H120+Historical!H123</f>
        <v>638.29999999999995</v>
      </c>
      <c r="I112" s="40">
        <f>Historical!I120+Historical!I123</f>
        <v>-1042.8</v>
      </c>
      <c r="J112" s="40">
        <f>Historical!J120+Historical!J123</f>
        <v>-301.20000000000005</v>
      </c>
      <c r="K112" s="40">
        <f>Historical!K120+Historical!K123</f>
        <v>154.40000000000003</v>
      </c>
      <c r="L112" s="40">
        <f>Historical!L120+Historical!L123</f>
        <v>-264.40000000000003</v>
      </c>
      <c r="M112" s="31">
        <f t="shared" ref="M112:Q112" si="78">(L49-M49)+(M60-L60)</f>
        <v>0</v>
      </c>
      <c r="N112" s="31">
        <f t="shared" si="78"/>
        <v>0</v>
      </c>
      <c r="O112" s="31">
        <f t="shared" si="78"/>
        <v>0</v>
      </c>
      <c r="P112" s="31">
        <f t="shared" si="78"/>
        <v>0</v>
      </c>
      <c r="Q112" s="31">
        <f t="shared" si="78"/>
        <v>0</v>
      </c>
    </row>
    <row r="113" spans="1:17" outlineLevel="1" x14ac:dyDescent="0.3">
      <c r="D113" s="35" t="s">
        <v>219</v>
      </c>
      <c r="E113" s="36"/>
      <c r="F113" s="55" t="s">
        <v>184</v>
      </c>
      <c r="G113" s="36"/>
      <c r="H113" s="53">
        <f t="shared" ref="H113:Q113" si="79">SUM(H109:H112)</f>
        <v>-1402.7</v>
      </c>
      <c r="I113" s="53">
        <f t="shared" si="79"/>
        <v>-6472</v>
      </c>
      <c r="J113" s="53">
        <f t="shared" si="79"/>
        <v>-3411.6000000000004</v>
      </c>
      <c r="K113" s="53">
        <f t="shared" si="79"/>
        <v>-5449.6</v>
      </c>
      <c r="L113" s="53">
        <f t="shared" si="79"/>
        <v>3267.7000000000003</v>
      </c>
      <c r="M113" s="53">
        <f>SUM(M109:M112)</f>
        <v>-3931.637603482066</v>
      </c>
      <c r="N113" s="53">
        <f t="shared" si="79"/>
        <v>-4105.3451568267956</v>
      </c>
      <c r="O113" s="53">
        <f t="shared" si="79"/>
        <v>-3850.5885424470871</v>
      </c>
      <c r="P113" s="53">
        <f t="shared" si="79"/>
        <v>-3560.8447309112744</v>
      </c>
      <c r="Q113" s="53">
        <f t="shared" si="79"/>
        <v>-3252.9753932473141</v>
      </c>
    </row>
    <row r="114" spans="1:17" outlineLevel="1" x14ac:dyDescent="0.3"/>
    <row r="115" spans="1:17" outlineLevel="1" x14ac:dyDescent="0.3">
      <c r="C115" s="29" t="s">
        <v>220</v>
      </c>
    </row>
    <row r="116" spans="1:17" outlineLevel="1" x14ac:dyDescent="0.3">
      <c r="D116" s="3" t="s">
        <v>221</v>
      </c>
      <c r="F116" s="3" t="s">
        <v>225</v>
      </c>
      <c r="I116" s="31">
        <f>H119</f>
        <v>26428.400000000001</v>
      </c>
      <c r="J116" s="31">
        <f t="shared" ref="J116:L116" si="80">I119</f>
        <v>28725.300000000003</v>
      </c>
      <c r="K116" s="31">
        <f t="shared" si="80"/>
        <v>27908.699999999997</v>
      </c>
      <c r="L116" s="31">
        <f t="shared" si="80"/>
        <v>28381.200000000001</v>
      </c>
      <c r="M116" s="31">
        <f t="shared" ref="M116" si="81">L119</f>
        <v>25929</v>
      </c>
      <c r="N116" s="31">
        <f t="shared" ref="N116" si="82">M119</f>
        <v>26113.285144804278</v>
      </c>
      <c r="O116" s="31">
        <f t="shared" ref="O116" si="83">N119</f>
        <v>25899.334784095492</v>
      </c>
      <c r="P116" s="31">
        <f t="shared" ref="P116" si="84">O119</f>
        <v>25361.571469790804</v>
      </c>
      <c r="Q116" s="31">
        <f t="shared" ref="Q116" si="85">P119</f>
        <v>24568.829225953887</v>
      </c>
    </row>
    <row r="117" spans="1:17" outlineLevel="1" x14ac:dyDescent="0.3">
      <c r="D117" s="3" t="s">
        <v>222</v>
      </c>
      <c r="F117" s="3" t="s">
        <v>225</v>
      </c>
      <c r="I117" s="31">
        <f t="shared" ref="I117:L117" si="86">I119-I116-I118</f>
        <v>4824.5000000000018</v>
      </c>
      <c r="J117" s="31">
        <f t="shared" si="86"/>
        <v>1929.1999999999944</v>
      </c>
      <c r="K117" s="31">
        <f t="shared" si="86"/>
        <v>3512.1000000000035</v>
      </c>
      <c r="L117" s="31">
        <f t="shared" si="86"/>
        <v>651.99999999999909</v>
      </c>
      <c r="M117" s="31">
        <f>(M25-L25)/M20</f>
        <v>2838.8653343379042</v>
      </c>
      <c r="N117" s="31">
        <f>(N25-M25)/N20</f>
        <v>2459.4967228285723</v>
      </c>
      <c r="O117" s="31">
        <f>(O25-N25)/O20</f>
        <v>2113.7797856975885</v>
      </c>
      <c r="P117" s="31">
        <f>(P25-O25)/P20</f>
        <v>1803.7452874657881</v>
      </c>
      <c r="Q117" s="31">
        <f>(Q25-P25)/Q20</f>
        <v>1529.6467659132179</v>
      </c>
    </row>
    <row r="118" spans="1:17" outlineLevel="1" x14ac:dyDescent="0.3">
      <c r="D118" s="5" t="s">
        <v>223</v>
      </c>
      <c r="E118" s="5"/>
      <c r="F118" s="5" t="s">
        <v>225</v>
      </c>
      <c r="G118" s="5"/>
      <c r="H118" s="31">
        <f t="shared" ref="H118:L118" si="87">-H79</f>
        <v>-1931.8</v>
      </c>
      <c r="I118" s="31">
        <f t="shared" si="87"/>
        <v>-2527.6</v>
      </c>
      <c r="J118" s="31">
        <f t="shared" si="87"/>
        <v>-2745.8</v>
      </c>
      <c r="K118" s="31">
        <f t="shared" si="87"/>
        <v>-3039.6</v>
      </c>
      <c r="L118" s="31">
        <f t="shared" si="87"/>
        <v>-3104.2</v>
      </c>
      <c r="M118" s="31">
        <f>-M116*M12</f>
        <v>-2654.5801895336244</v>
      </c>
      <c r="N118" s="31">
        <f>-N116*N12</f>
        <v>-2673.4470835373563</v>
      </c>
      <c r="O118" s="31">
        <f>-O116*O12</f>
        <v>-2651.5431000022754</v>
      </c>
      <c r="P118" s="31">
        <f>-P116*P12</f>
        <v>-2596.4875313027046</v>
      </c>
      <c r="Q118" s="31">
        <f>-Q116*Q12</f>
        <v>-2515.327522976278</v>
      </c>
    </row>
    <row r="119" spans="1:17" outlineLevel="1" x14ac:dyDescent="0.3">
      <c r="D119" s="29" t="s">
        <v>224</v>
      </c>
      <c r="F119" s="29" t="s">
        <v>225</v>
      </c>
      <c r="H119" s="38">
        <f>H51</f>
        <v>26428.400000000001</v>
      </c>
      <c r="I119" s="38">
        <f>I51</f>
        <v>28725.300000000003</v>
      </c>
      <c r="J119" s="38">
        <f>J51</f>
        <v>27908.699999999997</v>
      </c>
      <c r="K119" s="38">
        <f>K51</f>
        <v>28381.200000000001</v>
      </c>
      <c r="L119" s="38">
        <f>L51</f>
        <v>25929</v>
      </c>
      <c r="M119" s="38">
        <f>SUM(M116:M118)</f>
        <v>26113.285144804278</v>
      </c>
      <c r="N119" s="38">
        <f t="shared" ref="N119:Q119" si="88">SUM(N116:N118)</f>
        <v>25899.334784095492</v>
      </c>
      <c r="O119" s="38">
        <f t="shared" si="88"/>
        <v>25361.571469790804</v>
      </c>
      <c r="P119" s="38">
        <f t="shared" si="88"/>
        <v>24568.829225953887</v>
      </c>
      <c r="Q119" s="38">
        <f t="shared" si="88"/>
        <v>23583.148468890828</v>
      </c>
    </row>
    <row r="120" spans="1:17" outlineLevel="1" x14ac:dyDescent="0.3"/>
    <row r="121" spans="1:17" outlineLevel="1" x14ac:dyDescent="0.3">
      <c r="C121" s="29" t="s">
        <v>226</v>
      </c>
    </row>
    <row r="122" spans="1:17" outlineLevel="1" x14ac:dyDescent="0.3">
      <c r="D122" s="3" t="s">
        <v>227</v>
      </c>
      <c r="F122" s="3" t="s">
        <v>225</v>
      </c>
      <c r="I122" s="31">
        <f t="shared" ref="I122:M122" si="89">H124</f>
        <v>9025.7000000000007</v>
      </c>
      <c r="J122" s="31">
        <f t="shared" si="89"/>
        <v>16627.5</v>
      </c>
      <c r="K122" s="31">
        <f t="shared" si="89"/>
        <v>17919.8</v>
      </c>
      <c r="L122" s="31">
        <f t="shared" si="89"/>
        <v>26681.9</v>
      </c>
      <c r="M122" s="31">
        <f t="shared" si="89"/>
        <v>13966.8</v>
      </c>
      <c r="N122" s="31">
        <f t="shared" ref="N122" si="90">M124</f>
        <v>13966.8</v>
      </c>
      <c r="O122" s="31">
        <f t="shared" ref="O122" si="91">N124</f>
        <v>13966.8</v>
      </c>
      <c r="P122" s="31">
        <f t="shared" ref="P122" si="92">O124</f>
        <v>13966.8</v>
      </c>
      <c r="Q122" s="31">
        <f t="shared" ref="Q122" si="93">P124</f>
        <v>13966.8</v>
      </c>
    </row>
    <row r="123" spans="1:17" outlineLevel="1" x14ac:dyDescent="0.3">
      <c r="D123" s="3" t="s">
        <v>228</v>
      </c>
      <c r="F123" s="3" t="s">
        <v>225</v>
      </c>
      <c r="I123" s="31">
        <f t="shared" ref="I123:L123" si="94">I124-I122</f>
        <v>7601.7999999999993</v>
      </c>
      <c r="J123" s="31">
        <f t="shared" si="94"/>
        <v>1292.2999999999993</v>
      </c>
      <c r="K123" s="31">
        <f t="shared" si="94"/>
        <v>8762.1000000000022</v>
      </c>
      <c r="L123" s="31">
        <f t="shared" si="94"/>
        <v>-12715.100000000002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</row>
    <row r="124" spans="1:17" outlineLevel="1" x14ac:dyDescent="0.3">
      <c r="D124" s="35" t="s">
        <v>229</v>
      </c>
      <c r="E124" s="35"/>
      <c r="F124" s="35" t="s">
        <v>225</v>
      </c>
      <c r="G124" s="35"/>
      <c r="H124" s="38">
        <f>H62</f>
        <v>9025.7000000000007</v>
      </c>
      <c r="I124" s="38">
        <f>I62</f>
        <v>16627.5</v>
      </c>
      <c r="J124" s="38">
        <f>J62</f>
        <v>17919.8</v>
      </c>
      <c r="K124" s="38">
        <f>K62</f>
        <v>26681.9</v>
      </c>
      <c r="L124" s="38">
        <f>L62</f>
        <v>13966.8</v>
      </c>
      <c r="M124" s="38">
        <f>SUM(M122:M123)</f>
        <v>13966.8</v>
      </c>
      <c r="N124" s="38">
        <f t="shared" ref="N124:Q124" si="95">SUM(N122:N123)</f>
        <v>13966.8</v>
      </c>
      <c r="O124" s="38">
        <f t="shared" si="95"/>
        <v>13966.8</v>
      </c>
      <c r="P124" s="38">
        <f t="shared" si="95"/>
        <v>13966.8</v>
      </c>
      <c r="Q124" s="38">
        <f t="shared" si="95"/>
        <v>13966.8</v>
      </c>
    </row>
    <row r="125" spans="1:17" outlineLevel="1" x14ac:dyDescent="0.3">
      <c r="D125" s="3" t="s">
        <v>230</v>
      </c>
      <c r="F125" s="3" t="s">
        <v>225</v>
      </c>
      <c r="H125" s="31">
        <f>H34</f>
        <v>-546.29999999999995</v>
      </c>
      <c r="I125" s="31">
        <f>I34</f>
        <v>-650.6</v>
      </c>
      <c r="J125" s="31">
        <f>J34</f>
        <v>-589.20000000000005</v>
      </c>
      <c r="K125" s="31">
        <f>K34</f>
        <v>-523.70000000000005</v>
      </c>
      <c r="L125" s="31">
        <f>L34</f>
        <v>-1073.5999999999999</v>
      </c>
      <c r="M125" s="31">
        <f>-M124*M13</f>
        <v>-617.96105116706747</v>
      </c>
      <c r="N125" s="31">
        <f>-N124*N13</f>
        <v>-617.96105116706747</v>
      </c>
      <c r="O125" s="31">
        <f>-O124*O13</f>
        <v>-617.96105116706747</v>
      </c>
      <c r="P125" s="31">
        <f>-P124*P13</f>
        <v>-617.96105116706747</v>
      </c>
      <c r="Q125" s="31">
        <f>-Q124*Q13</f>
        <v>-617.96105116706747</v>
      </c>
    </row>
    <row r="126" spans="1:17" outlineLevel="1" x14ac:dyDescent="0.3"/>
    <row r="127" spans="1:17" x14ac:dyDescent="0.3">
      <c r="H127" s="6"/>
      <c r="I127" s="6"/>
      <c r="J127" s="6"/>
      <c r="K127" s="6"/>
      <c r="L127" s="6"/>
    </row>
    <row r="128" spans="1:17" ht="21" x14ac:dyDescent="0.4">
      <c r="A128" s="28" t="s">
        <v>334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4:19" outlineLevel="1" x14ac:dyDescent="0.3"/>
    <row r="130" spans="4:19" outlineLevel="1" x14ac:dyDescent="0.3">
      <c r="D130" s="64" t="s">
        <v>363</v>
      </c>
      <c r="E130" s="5"/>
    </row>
    <row r="131" spans="4:19" outlineLevel="1" x14ac:dyDescent="0.3">
      <c r="D131" s="3" t="s">
        <v>364</v>
      </c>
      <c r="E131" s="200">
        <v>45323</v>
      </c>
      <c r="I131" s="187"/>
    </row>
    <row r="132" spans="4:19" outlineLevel="1" x14ac:dyDescent="0.3">
      <c r="D132" s="3" t="s">
        <v>365</v>
      </c>
      <c r="E132" s="200">
        <v>45382</v>
      </c>
    </row>
    <row r="133" spans="4:19" outlineLevel="1" x14ac:dyDescent="0.3">
      <c r="D133" s="3" t="s">
        <v>305</v>
      </c>
      <c r="E133" s="199">
        <v>0.15679999999999999</v>
      </c>
    </row>
    <row r="134" spans="4:19" outlineLevel="1" x14ac:dyDescent="0.3">
      <c r="D134" s="3" t="s">
        <v>378</v>
      </c>
      <c r="E134" s="198">
        <f>Comps!T20</f>
        <v>28.428479382715274</v>
      </c>
    </row>
    <row r="135" spans="4:19" outlineLevel="1" x14ac:dyDescent="0.3">
      <c r="D135" s="3" t="s">
        <v>380</v>
      </c>
      <c r="E135" s="199">
        <v>0.06</v>
      </c>
      <c r="F135" s="3" t="s">
        <v>435</v>
      </c>
    </row>
    <row r="136" spans="4:19" outlineLevel="1" x14ac:dyDescent="0.3">
      <c r="D136" s="3" t="s">
        <v>381</v>
      </c>
      <c r="E136" s="197">
        <f>WACC!H48</f>
        <v>9.7031257992340247E-2</v>
      </c>
      <c r="F136" s="3" t="s">
        <v>323</v>
      </c>
    </row>
    <row r="137" spans="4:19" outlineLevel="1" x14ac:dyDescent="0.3">
      <c r="D137" s="3" t="s">
        <v>388</v>
      </c>
      <c r="E137" s="293">
        <f>119565000/10^6</f>
        <v>119.565</v>
      </c>
      <c r="F137" s="3" t="s">
        <v>438</v>
      </c>
    </row>
    <row r="138" spans="4:19" outlineLevel="1" x14ac:dyDescent="0.3">
      <c r="D138" s="3" t="s">
        <v>391</v>
      </c>
      <c r="E138" s="211">
        <f>Beta!D66</f>
        <v>5060.3</v>
      </c>
    </row>
    <row r="139" spans="4:19" outlineLevel="1" x14ac:dyDescent="0.3"/>
    <row r="140" spans="4:19" outlineLevel="1" x14ac:dyDescent="0.3"/>
    <row r="141" spans="4:19" outlineLevel="1" x14ac:dyDescent="0.3">
      <c r="D141" s="64" t="s">
        <v>366</v>
      </c>
      <c r="E141" s="5"/>
      <c r="F141" s="5"/>
      <c r="G141" s="5"/>
      <c r="H141" s="192" t="s">
        <v>367</v>
      </c>
      <c r="I141" s="64">
        <f>YEAR(E132)</f>
        <v>2024</v>
      </c>
      <c r="J141" s="64">
        <f t="shared" ref="J141:M141" si="96">I141+1</f>
        <v>2025</v>
      </c>
      <c r="K141" s="64">
        <f t="shared" si="96"/>
        <v>2026</v>
      </c>
      <c r="L141" s="64">
        <f t="shared" si="96"/>
        <v>2027</v>
      </c>
      <c r="M141" s="280">
        <f t="shared" si="96"/>
        <v>2028</v>
      </c>
      <c r="N141" s="192" t="s">
        <v>368</v>
      </c>
      <c r="P141" s="64" t="s">
        <v>377</v>
      </c>
      <c r="Q141" s="5"/>
      <c r="R141" s="5"/>
    </row>
    <row r="142" spans="4:19" s="50" customFormat="1" outlineLevel="1" x14ac:dyDescent="0.3">
      <c r="D142" s="50" t="s">
        <v>325</v>
      </c>
      <c r="H142" s="290">
        <f>E131</f>
        <v>45323</v>
      </c>
      <c r="I142" s="188">
        <f>DATE(YEAR($H$142)+I143,MONTH($E$132),DAY($E$132))</f>
        <v>45382</v>
      </c>
      <c r="J142" s="188">
        <f t="shared" ref="J142:M142" si="97">DATE(YEAR($H$142)+J143,MONTH($E$132),DAY($E$132))</f>
        <v>45747</v>
      </c>
      <c r="K142" s="188">
        <f t="shared" si="97"/>
        <v>46112</v>
      </c>
      <c r="L142" s="188">
        <f t="shared" si="97"/>
        <v>46477</v>
      </c>
      <c r="M142" s="281">
        <f t="shared" si="97"/>
        <v>46843</v>
      </c>
      <c r="N142" s="188">
        <f>M142</f>
        <v>46843</v>
      </c>
      <c r="P142" s="3" t="s">
        <v>264</v>
      </c>
      <c r="R142" s="57">
        <f>(M146+M149)*E134</f>
        <v>892317.70501026628</v>
      </c>
      <c r="S142" s="291" t="s">
        <v>436</v>
      </c>
    </row>
    <row r="143" spans="4:19" s="50" customFormat="1" outlineLevel="1" x14ac:dyDescent="0.3">
      <c r="D143" s="50" t="s">
        <v>369</v>
      </c>
      <c r="I143" s="50">
        <v>0</v>
      </c>
      <c r="J143" s="50">
        <v>1</v>
      </c>
      <c r="K143" s="50">
        <v>2</v>
      </c>
      <c r="L143" s="50">
        <v>3</v>
      </c>
      <c r="M143" s="282">
        <v>4</v>
      </c>
      <c r="P143" s="3" t="s">
        <v>379</v>
      </c>
      <c r="R143" s="195">
        <f>M152*(1+E135)/(E136-E135)</f>
        <v>631978.95705043036</v>
      </c>
    </row>
    <row r="144" spans="4:19" s="50" customFormat="1" outlineLevel="1" x14ac:dyDescent="0.3">
      <c r="D144" s="50" t="s">
        <v>370</v>
      </c>
      <c r="I144" s="189">
        <f>YEARFRAC(H142,I142)</f>
        <v>0.16666666666666666</v>
      </c>
      <c r="J144" s="189">
        <f>YEARFRAC(I142,J142)</f>
        <v>1</v>
      </c>
      <c r="K144" s="189">
        <f>YEARFRAC(J142,K142)</f>
        <v>1</v>
      </c>
      <c r="L144" s="189">
        <f>YEARFRAC(K142,L142)</f>
        <v>1</v>
      </c>
      <c r="M144" s="283">
        <f>YEARFRAC(L142,M142)</f>
        <v>1</v>
      </c>
      <c r="N144" s="190">
        <v>1</v>
      </c>
      <c r="P144" s="193" t="s">
        <v>279</v>
      </c>
      <c r="Q144" s="193"/>
      <c r="R144" s="194">
        <f>AVERAGE(R142:R143)</f>
        <v>762148.33103034832</v>
      </c>
    </row>
    <row r="145" spans="4:15" outlineLevel="1" x14ac:dyDescent="0.3">
      <c r="M145" s="284"/>
    </row>
    <row r="146" spans="4:15" outlineLevel="1" x14ac:dyDescent="0.3">
      <c r="D146" s="3" t="s">
        <v>167</v>
      </c>
      <c r="I146" s="31">
        <f t="shared" ref="I146:M146" si="98">M33</f>
        <v>20219.180754936024</v>
      </c>
      <c r="J146" s="31">
        <f t="shared" si="98"/>
        <v>22566.944606932295</v>
      </c>
      <c r="K146" s="31">
        <f t="shared" si="98"/>
        <v>24808.618399492258</v>
      </c>
      <c r="L146" s="31">
        <f t="shared" si="98"/>
        <v>26916.413579596516</v>
      </c>
      <c r="M146" s="285">
        <f t="shared" si="98"/>
        <v>28872.834080658493</v>
      </c>
    </row>
    <row r="147" spans="4:15" outlineLevel="1" x14ac:dyDescent="0.3">
      <c r="D147" s="5" t="s">
        <v>371</v>
      </c>
      <c r="E147" s="5"/>
      <c r="F147" s="5"/>
      <c r="G147" s="5"/>
      <c r="H147" s="5"/>
      <c r="I147" s="73">
        <f t="shared" ref="I147:M147" si="99">-I146*$E$133</f>
        <v>-3170.3675423739683</v>
      </c>
      <c r="J147" s="73">
        <f t="shared" si="99"/>
        <v>-3538.4969143669837</v>
      </c>
      <c r="K147" s="73">
        <f t="shared" si="99"/>
        <v>-3889.991365040386</v>
      </c>
      <c r="L147" s="73">
        <f t="shared" si="99"/>
        <v>-4220.4936492807337</v>
      </c>
      <c r="M147" s="286">
        <f t="shared" si="99"/>
        <v>-4527.2603838472514</v>
      </c>
      <c r="N147" s="292" t="s">
        <v>437</v>
      </c>
      <c r="O147" s="292"/>
    </row>
    <row r="148" spans="4:15" outlineLevel="1" x14ac:dyDescent="0.3">
      <c r="D148" s="3" t="s">
        <v>372</v>
      </c>
      <c r="I148" s="31">
        <f t="shared" ref="I148:M148" si="100">SUM(I146:I147)</f>
        <v>17048.813212562054</v>
      </c>
      <c r="J148" s="31">
        <f t="shared" si="100"/>
        <v>19028.447692565311</v>
      </c>
      <c r="K148" s="31">
        <f t="shared" si="100"/>
        <v>20918.627034451871</v>
      </c>
      <c r="L148" s="31">
        <f t="shared" si="100"/>
        <v>22695.91993031578</v>
      </c>
      <c r="M148" s="285">
        <f t="shared" si="100"/>
        <v>24345.57369681124</v>
      </c>
    </row>
    <row r="149" spans="4:15" outlineLevel="1" x14ac:dyDescent="0.3">
      <c r="D149" s="3" t="s">
        <v>373</v>
      </c>
      <c r="I149" s="31">
        <f t="shared" ref="I149:M149" si="101">M79</f>
        <v>2654.5801895336244</v>
      </c>
      <c r="J149" s="31">
        <f t="shared" si="101"/>
        <v>2673.4470835373563</v>
      </c>
      <c r="K149" s="31">
        <f t="shared" si="101"/>
        <v>2651.5431000022754</v>
      </c>
      <c r="L149" s="31">
        <f t="shared" si="101"/>
        <v>2596.4875313027046</v>
      </c>
      <c r="M149" s="285">
        <f t="shared" si="101"/>
        <v>2515.327522976278</v>
      </c>
    </row>
    <row r="150" spans="4:15" outlineLevel="1" x14ac:dyDescent="0.3">
      <c r="D150" s="3" t="s">
        <v>374</v>
      </c>
      <c r="I150" s="31">
        <f t="shared" ref="I150:M150" si="102">-M117</f>
        <v>-2838.8653343379042</v>
      </c>
      <c r="J150" s="31">
        <f t="shared" si="102"/>
        <v>-2459.4967228285723</v>
      </c>
      <c r="K150" s="31">
        <f t="shared" si="102"/>
        <v>-2113.7797856975885</v>
      </c>
      <c r="L150" s="31">
        <f t="shared" si="102"/>
        <v>-1803.7452874657881</v>
      </c>
      <c r="M150" s="285">
        <f t="shared" si="102"/>
        <v>-1529.6467659132179</v>
      </c>
    </row>
    <row r="151" spans="4:15" outlineLevel="1" x14ac:dyDescent="0.3">
      <c r="D151" s="5" t="s">
        <v>375</v>
      </c>
      <c r="E151" s="5"/>
      <c r="F151" s="5"/>
      <c r="G151" s="5"/>
      <c r="H151" s="5"/>
      <c r="I151" s="73">
        <f t="shared" ref="I151:M151" si="103">M113</f>
        <v>-3931.637603482066</v>
      </c>
      <c r="J151" s="73">
        <f t="shared" si="103"/>
        <v>-4105.3451568267956</v>
      </c>
      <c r="K151" s="73">
        <f t="shared" si="103"/>
        <v>-3850.5885424470871</v>
      </c>
      <c r="L151" s="73">
        <f t="shared" si="103"/>
        <v>-3560.8447309112744</v>
      </c>
      <c r="M151" s="286">
        <f t="shared" si="103"/>
        <v>-3252.9753932473141</v>
      </c>
      <c r="N151" s="5"/>
    </row>
    <row r="152" spans="4:15" s="29" customFormat="1" outlineLevel="1" x14ac:dyDescent="0.3">
      <c r="D152" s="29" t="s">
        <v>376</v>
      </c>
      <c r="I152" s="33">
        <f t="shared" ref="I152:M152" si="104">SUM(I148:I151)</f>
        <v>12932.89046427571</v>
      </c>
      <c r="J152" s="33">
        <f t="shared" si="104"/>
        <v>15137.052896447301</v>
      </c>
      <c r="K152" s="33">
        <f t="shared" si="104"/>
        <v>17605.801806309471</v>
      </c>
      <c r="L152" s="33">
        <f t="shared" si="104"/>
        <v>19927.817443241423</v>
      </c>
      <c r="M152" s="287">
        <f t="shared" si="104"/>
        <v>22078.279060626985</v>
      </c>
      <c r="N152" s="47">
        <f>R144</f>
        <v>762148.33103034832</v>
      </c>
    </row>
    <row r="153" spans="4:15" outlineLevel="1" x14ac:dyDescent="0.3">
      <c r="M153" s="284"/>
    </row>
    <row r="154" spans="4:15" s="29" customFormat="1" outlineLevel="1" x14ac:dyDescent="0.3">
      <c r="D154" s="29" t="s">
        <v>382</v>
      </c>
      <c r="H154" s="31">
        <v>0</v>
      </c>
      <c r="I154" s="289">
        <f t="shared" ref="I154:M154" si="105">I152*I144</f>
        <v>2155.4817440459515</v>
      </c>
      <c r="J154" s="47">
        <f t="shared" si="105"/>
        <v>15137.052896447301</v>
      </c>
      <c r="K154" s="47">
        <f t="shared" si="105"/>
        <v>17605.801806309471</v>
      </c>
      <c r="L154" s="47">
        <f t="shared" si="105"/>
        <v>19927.817443241423</v>
      </c>
      <c r="M154" s="288">
        <f t="shared" si="105"/>
        <v>22078.279060626985</v>
      </c>
      <c r="N154" s="47">
        <f>N152*N144</f>
        <v>762148.33103034832</v>
      </c>
    </row>
    <row r="155" spans="4:15" outlineLevel="1" x14ac:dyDescent="0.3"/>
    <row r="156" spans="4:15" outlineLevel="1" x14ac:dyDescent="0.3"/>
    <row r="157" spans="4:15" outlineLevel="1" x14ac:dyDescent="0.3"/>
    <row r="158" spans="4:15" outlineLevel="1" x14ac:dyDescent="0.3"/>
    <row r="159" spans="4:15" outlineLevel="1" x14ac:dyDescent="0.3">
      <c r="D159" s="64" t="s">
        <v>383</v>
      </c>
      <c r="E159" s="64"/>
      <c r="F159" s="29"/>
      <c r="H159" s="64" t="s">
        <v>390</v>
      </c>
      <c r="I159" s="5"/>
      <c r="J159" s="5"/>
      <c r="K159" s="5"/>
      <c r="M159" s="64" t="s">
        <v>395</v>
      </c>
      <c r="N159" s="5"/>
      <c r="O159" s="5"/>
    </row>
    <row r="160" spans="4:15" outlineLevel="1" x14ac:dyDescent="0.3">
      <c r="D160" s="3" t="s">
        <v>384</v>
      </c>
      <c r="E160" s="57">
        <f>XNPV(E136,H154:N154,H142:N142)</f>
        <v>578276.74688321725</v>
      </c>
      <c r="H160" s="3" t="s">
        <v>260</v>
      </c>
      <c r="K160" s="57">
        <f>E138*E137</f>
        <v>605034.76950000005</v>
      </c>
      <c r="M160" s="3" t="s">
        <v>391</v>
      </c>
      <c r="O160" s="57">
        <f>K166</f>
        <v>5060.3</v>
      </c>
    </row>
    <row r="161" spans="1:17" outlineLevel="1" x14ac:dyDescent="0.3">
      <c r="D161" s="3" t="s">
        <v>385</v>
      </c>
      <c r="E161" s="31">
        <f>L45+L46+L53</f>
        <v>38617.600000000006</v>
      </c>
      <c r="H161" s="3" t="s">
        <v>392</v>
      </c>
      <c r="K161" s="31">
        <f>-E162</f>
        <v>13966.8</v>
      </c>
      <c r="M161" s="3" t="s">
        <v>396</v>
      </c>
      <c r="O161" s="31">
        <f>E166</f>
        <v>5010.0819377177031</v>
      </c>
    </row>
    <row r="162" spans="1:17" outlineLevel="1" x14ac:dyDescent="0.3">
      <c r="D162" s="3" t="s">
        <v>386</v>
      </c>
      <c r="E162" s="31">
        <f>-L124</f>
        <v>-13966.8</v>
      </c>
      <c r="H162" s="3" t="s">
        <v>393</v>
      </c>
      <c r="K162" s="31">
        <f>-E163</f>
        <v>3897.1</v>
      </c>
      <c r="M162" s="3" t="s">
        <v>397</v>
      </c>
      <c r="O162" s="294">
        <f>O161/O160-1</f>
        <v>-9.9239298623198247E-3</v>
      </c>
      <c r="P162" s="3" t="s">
        <v>439</v>
      </c>
    </row>
    <row r="163" spans="1:17" outlineLevel="1" x14ac:dyDescent="0.3">
      <c r="D163" s="3" t="s">
        <v>387</v>
      </c>
      <c r="E163" s="73">
        <f>-L69</f>
        <v>-3897.1</v>
      </c>
      <c r="H163" s="3" t="s">
        <v>394</v>
      </c>
      <c r="K163" s="73">
        <f>-E161</f>
        <v>-38617.600000000006</v>
      </c>
      <c r="O163"/>
    </row>
    <row r="164" spans="1:17" outlineLevel="1" x14ac:dyDescent="0.3">
      <c r="D164" s="3" t="s">
        <v>284</v>
      </c>
      <c r="E164" s="57">
        <f>SUM(E160:E163)</f>
        <v>599030.4468832172</v>
      </c>
      <c r="H164" s="3" t="s">
        <v>384</v>
      </c>
      <c r="K164" s="57">
        <f>SUM(K160:K163)</f>
        <v>584281.0695000001</v>
      </c>
      <c r="O164"/>
    </row>
    <row r="165" spans="1:17" outlineLevel="1" x14ac:dyDescent="0.3">
      <c r="O165"/>
    </row>
    <row r="166" spans="1:17" outlineLevel="1" x14ac:dyDescent="0.3">
      <c r="D166" s="3" t="s">
        <v>389</v>
      </c>
      <c r="E166" s="196">
        <f>E164/E137</f>
        <v>5010.0819377177031</v>
      </c>
      <c r="H166" s="3" t="s">
        <v>389</v>
      </c>
      <c r="K166" s="196">
        <f>K160/E137</f>
        <v>5060.3</v>
      </c>
      <c r="O166"/>
    </row>
    <row r="167" spans="1:17" outlineLevel="1" x14ac:dyDescent="0.3"/>
    <row r="168" spans="1:17" outlineLevel="1" x14ac:dyDescent="0.3"/>
    <row r="169" spans="1:17" outlineLevel="1" x14ac:dyDescent="0.3"/>
    <row r="171" spans="1:17" ht="21" x14ac:dyDescent="0.4">
      <c r="A171" s="28" t="s">
        <v>398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outlineLevel="1" x14ac:dyDescent="0.3"/>
    <row r="173" spans="1:17" outlineLevel="1" x14ac:dyDescent="0.3">
      <c r="D173" s="212"/>
      <c r="E173" s="212"/>
      <c r="F173" s="212"/>
      <c r="H173" s="201" t="s">
        <v>399</v>
      </c>
      <c r="I173" s="201"/>
      <c r="J173" s="201"/>
      <c r="K173" s="201"/>
      <c r="L173" s="201"/>
      <c r="M173" s="201"/>
      <c r="N173" s="201"/>
    </row>
    <row r="174" spans="1:17" outlineLevel="1" x14ac:dyDescent="0.3">
      <c r="D174" s="212"/>
      <c r="E174" s="212"/>
      <c r="F174" s="212"/>
    </row>
    <row r="175" spans="1:17" outlineLevel="1" x14ac:dyDescent="0.3">
      <c r="D175" s="212"/>
      <c r="E175" s="212"/>
      <c r="F175" s="212"/>
      <c r="J175" s="203" t="s">
        <v>400</v>
      </c>
      <c r="K175" s="203"/>
      <c r="L175" s="203"/>
      <c r="M175" s="203"/>
      <c r="N175" s="203"/>
    </row>
    <row r="176" spans="1:17" outlineLevel="1" x14ac:dyDescent="0.3">
      <c r="D176" s="212"/>
      <c r="E176" s="212"/>
      <c r="F176" s="212"/>
      <c r="I176" s="207">
        <f>E166</f>
        <v>5010.0819377177031</v>
      </c>
      <c r="J176" s="205">
        <v>15</v>
      </c>
      <c r="K176" s="202">
        <v>20</v>
      </c>
      <c r="L176" s="295">
        <v>28.428479382715274</v>
      </c>
      <c r="M176" s="202">
        <v>30</v>
      </c>
      <c r="N176" s="202">
        <v>35</v>
      </c>
      <c r="O176" s="3" t="s">
        <v>442</v>
      </c>
    </row>
    <row r="177" spans="4:24" ht="16.350000000000001" customHeight="1" outlineLevel="1" x14ac:dyDescent="0.3">
      <c r="D177" s="212"/>
      <c r="E177" s="212"/>
      <c r="F177" s="212"/>
      <c r="H177" s="299" t="s">
        <v>381</v>
      </c>
      <c r="I177" s="204">
        <v>0.08</v>
      </c>
      <c r="J177" s="206">
        <f t="dataTable" ref="J177:N181" dt2D="1" dtr="1" r1="E134" r2="E136"/>
        <v>5677.0821631485578</v>
      </c>
      <c r="K177" s="57">
        <v>6153.4171509259022</v>
      </c>
      <c r="L177" s="57">
        <v>6956.3730756753594</v>
      </c>
      <c r="M177" s="57">
        <v>7106.0871264805928</v>
      </c>
      <c r="N177" s="57">
        <v>7582.422114257939</v>
      </c>
      <c r="O177" s="292" t="s">
        <v>441</v>
      </c>
    </row>
    <row r="178" spans="4:24" ht="16.350000000000001" customHeight="1" outlineLevel="1" x14ac:dyDescent="0.3">
      <c r="D178" s="212"/>
      <c r="E178" s="212"/>
      <c r="F178" s="212"/>
      <c r="H178" s="299"/>
      <c r="I178" s="204">
        <v>0.09</v>
      </c>
      <c r="J178" s="206">
        <v>4337.7519112218979</v>
      </c>
      <c r="K178" s="208">
        <v>4796.1507698684445</v>
      </c>
      <c r="L178" s="208">
        <v>5568.8718357009711</v>
      </c>
      <c r="M178" s="208">
        <v>5712.9484871615377</v>
      </c>
      <c r="N178" s="57">
        <v>6171.3473458080862</v>
      </c>
      <c r="O178" s="3" t="s">
        <v>440</v>
      </c>
    </row>
    <row r="179" spans="4:24" ht="16.350000000000001" customHeight="1" outlineLevel="1" x14ac:dyDescent="0.3">
      <c r="D179" s="212"/>
      <c r="E179" s="212"/>
      <c r="F179" s="212"/>
      <c r="H179" s="299"/>
      <c r="I179" s="296">
        <v>9.7031257992340247E-2</v>
      </c>
      <c r="J179" s="206">
        <v>3811.4901407515863</v>
      </c>
      <c r="K179" s="208">
        <v>4257.7773795393632</v>
      </c>
      <c r="L179" s="209">
        <v>5010.0819377177031</v>
      </c>
      <c r="M179" s="208">
        <v>5150.3518571149143</v>
      </c>
      <c r="N179" s="57">
        <v>5596.6390959026921</v>
      </c>
    </row>
    <row r="180" spans="4:24" ht="16.350000000000001" customHeight="1" outlineLevel="1" x14ac:dyDescent="0.3">
      <c r="D180" s="212"/>
      <c r="E180" s="212"/>
      <c r="F180" s="212"/>
      <c r="H180" s="299"/>
      <c r="I180" s="204">
        <v>0.1</v>
      </c>
      <c r="J180" s="206">
        <v>3640.9768861558773</v>
      </c>
      <c r="K180" s="208">
        <v>4082.2696466139605</v>
      </c>
      <c r="L180" s="208">
        <v>4826.1550332664528</v>
      </c>
      <c r="M180" s="208">
        <v>4964.8551675301269</v>
      </c>
      <c r="N180" s="57">
        <v>5406.1479279882096</v>
      </c>
    </row>
    <row r="181" spans="4:24" ht="16.350000000000001" customHeight="1" outlineLevel="1" x14ac:dyDescent="0.3">
      <c r="D181" s="212"/>
      <c r="E181" s="212"/>
      <c r="F181" s="212"/>
      <c r="H181" s="299"/>
      <c r="I181" s="204">
        <v>0.11</v>
      </c>
      <c r="J181" s="206">
        <v>3202.7049447392251</v>
      </c>
      <c r="K181" s="57">
        <v>3627.6761969719591</v>
      </c>
      <c r="L181" s="57">
        <v>4344.0484845100191</v>
      </c>
      <c r="M181" s="57">
        <v>4477.6187014374282</v>
      </c>
      <c r="N181" s="57">
        <v>4902.5899536701618</v>
      </c>
    </row>
    <row r="182" spans="4:24" outlineLevel="1" x14ac:dyDescent="0.3">
      <c r="D182" s="212"/>
      <c r="E182" s="212"/>
      <c r="F182" s="212"/>
    </row>
    <row r="183" spans="4:24" outlineLevel="1" x14ac:dyDescent="0.3">
      <c r="D183" s="212"/>
      <c r="E183" s="212"/>
      <c r="F183" s="212"/>
    </row>
    <row r="184" spans="4:24" outlineLevel="1" x14ac:dyDescent="0.3">
      <c r="D184" s="212"/>
      <c r="E184" s="212"/>
      <c r="F184" s="212"/>
      <c r="J184" s="203" t="s">
        <v>380</v>
      </c>
      <c r="K184" s="203"/>
      <c r="L184" s="203"/>
      <c r="M184" s="203"/>
      <c r="N184" s="203"/>
    </row>
    <row r="185" spans="4:24" outlineLevel="1" x14ac:dyDescent="0.3">
      <c r="D185" s="212"/>
      <c r="E185" s="212"/>
      <c r="F185" s="212"/>
      <c r="I185" s="207">
        <f>E166</f>
        <v>5010.0819377177031</v>
      </c>
      <c r="J185" s="210">
        <v>0.04</v>
      </c>
      <c r="K185" s="204">
        <v>0.05</v>
      </c>
      <c r="L185" s="204">
        <v>0.06</v>
      </c>
      <c r="M185" s="204">
        <v>7.0000000000000007E-2</v>
      </c>
      <c r="N185" s="204">
        <v>7.4999999999999997E-2</v>
      </c>
    </row>
    <row r="186" spans="4:24" ht="20.55" customHeight="1" outlineLevel="1" x14ac:dyDescent="0.3">
      <c r="D186" s="212"/>
      <c r="E186" s="212"/>
      <c r="F186" s="212"/>
      <c r="H186" s="299" t="s">
        <v>381</v>
      </c>
      <c r="I186" s="204">
        <v>0.08</v>
      </c>
      <c r="J186" s="206">
        <f t="dataTable" ref="J186:N190" dt2D="1" dtr="1" r1="E135" r2="E136" ca="1"/>
        <v>5147.0939160936805</v>
      </c>
      <c r="K186" s="57">
        <v>5750.1869692875744</v>
      </c>
      <c r="L186" s="57">
        <v>6956.3730756753594</v>
      </c>
      <c r="M186" s="57">
        <v>10574.931394838726</v>
      </c>
      <c r="N186" s="57">
        <v>17812.048033165422</v>
      </c>
      <c r="O186" s="292" t="s">
        <v>443</v>
      </c>
      <c r="P186" s="292"/>
      <c r="Q186" s="292"/>
      <c r="R186" s="292"/>
      <c r="S186" s="292"/>
      <c r="T186" s="292"/>
      <c r="U186" s="292"/>
      <c r="V186" s="292"/>
      <c r="W186" s="292"/>
      <c r="X186" s="292"/>
    </row>
    <row r="187" spans="4:24" ht="20.55" customHeight="1" outlineLevel="1" x14ac:dyDescent="0.3">
      <c r="D187" s="212"/>
      <c r="E187" s="212"/>
      <c r="F187" s="212"/>
      <c r="H187" s="299"/>
      <c r="I187" s="204">
        <v>0.09</v>
      </c>
      <c r="J187" s="206">
        <v>4631.6592840746416</v>
      </c>
      <c r="K187" s="208">
        <v>4983.1139909345156</v>
      </c>
      <c r="L187" s="208">
        <v>5568.8718357009711</v>
      </c>
      <c r="M187" s="208">
        <v>6740.3875252338858</v>
      </c>
      <c r="N187" s="57">
        <v>7911.9032147667949</v>
      </c>
    </row>
    <row r="188" spans="4:24" ht="20.55" customHeight="1" outlineLevel="1" x14ac:dyDescent="0.3">
      <c r="D188" s="212"/>
      <c r="E188" s="212"/>
      <c r="F188" s="212"/>
      <c r="H188" s="299"/>
      <c r="I188" s="204">
        <v>9.7031257992340247E-2</v>
      </c>
      <c r="J188" s="206">
        <v>4357.8359989998653</v>
      </c>
      <c r="K188" s="208">
        <v>4614.6172192156864</v>
      </c>
      <c r="L188" s="209">
        <v>5010.0819377177031</v>
      </c>
      <c r="M188" s="208">
        <v>5698.1447429340569</v>
      </c>
      <c r="N188" s="57">
        <v>6276.4102070250938</v>
      </c>
    </row>
    <row r="189" spans="4:24" ht="20.55" customHeight="1" outlineLevel="1" x14ac:dyDescent="0.3">
      <c r="D189" s="212"/>
      <c r="E189" s="212"/>
      <c r="F189" s="212"/>
      <c r="H189" s="299"/>
      <c r="I189" s="204">
        <v>0.1</v>
      </c>
      <c r="J189" s="206">
        <v>4257.0825636600721</v>
      </c>
      <c r="K189" s="208">
        <v>4484.7115515026253</v>
      </c>
      <c r="L189" s="208">
        <v>4826.1550332664528</v>
      </c>
      <c r="M189" s="208">
        <v>5395.2275028728336</v>
      </c>
      <c r="N189" s="57">
        <v>5850.4854785579382</v>
      </c>
    </row>
    <row r="190" spans="4:24" ht="20.55" customHeight="1" outlineLevel="1" x14ac:dyDescent="0.3">
      <c r="D190" s="212"/>
      <c r="E190" s="212"/>
      <c r="F190" s="212"/>
      <c r="H190" s="299"/>
      <c r="I190" s="204">
        <v>0.11</v>
      </c>
      <c r="J190" s="206">
        <v>3964.8436925886645</v>
      </c>
      <c r="K190" s="57">
        <v>4122.8456892225622</v>
      </c>
      <c r="L190" s="57">
        <v>4344.0484845100191</v>
      </c>
      <c r="M190" s="57">
        <v>4675.852677441203</v>
      </c>
      <c r="N190" s="57">
        <v>4912.8556723920483</v>
      </c>
    </row>
    <row r="191" spans="4:24" outlineLevel="1" x14ac:dyDescent="0.3"/>
    <row r="192" spans="4:24" outlineLevel="1" x14ac:dyDescent="0.3"/>
  </sheetData>
  <mergeCells count="2">
    <mergeCell ref="H177:H181"/>
    <mergeCell ref="H186:H190"/>
  </mergeCells>
  <pageMargins left="0.7" right="0.7" top="0.75" bottom="0.75" header="0.3" footer="0.3"/>
  <pageSetup orientation="portrait" r:id="rId1"/>
  <ignoredErrors>
    <ignoredError sqref="H54:L54 H60:L63" formulaRange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841152-C524-43B4-85DA-F8FB82FC06D7}">
          <x14:formula1>
            <xm:f>Scenarios!$D$5:$D$7</xm:f>
          </x14:formula1>
          <xm:sqref>E7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DB56-265F-4A9B-A2C8-6530F56CC1F7}">
  <dimension ref="A1:M23"/>
  <sheetViews>
    <sheetView showGridLines="0" zoomScaleNormal="100" workbookViewId="0">
      <selection activeCell="E8" sqref="E8"/>
    </sheetView>
  </sheetViews>
  <sheetFormatPr defaultColWidth="11.6640625" defaultRowHeight="14.4" x14ac:dyDescent="0.3"/>
  <cols>
    <col min="1" max="3" width="1.21875" style="3" customWidth="1"/>
    <col min="4" max="4" width="40.6640625" style="3" customWidth="1"/>
    <col min="5" max="6" width="12.6640625" style="3" customWidth="1"/>
    <col min="7" max="7" width="2.6640625" style="3" customWidth="1"/>
    <col min="8" max="8" width="11.6640625" style="3"/>
    <col min="9" max="12" width="11.6640625" style="3" customWidth="1"/>
    <col min="13" max="16384" width="11.6640625" style="3"/>
  </cols>
  <sheetData>
    <row r="1" spans="1:13" ht="32.4" x14ac:dyDescent="0.6">
      <c r="A1" s="1" t="str">
        <f>Index!A1</f>
        <v>Alkem Laboratories Limited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ht="15.6" x14ac:dyDescent="0.3">
      <c r="A2" s="4" t="s">
        <v>244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s="58" customFormat="1" ht="15.6" x14ac:dyDescent="0.3"/>
    <row r="4" spans="1:13" s="58" customFormat="1" ht="15.6" x14ac:dyDescent="0.3">
      <c r="C4" s="216" t="s">
        <v>244</v>
      </c>
      <c r="D4" s="217"/>
      <c r="E4" s="60" t="s">
        <v>248</v>
      </c>
      <c r="H4" s="216">
        <f>Model!M2</f>
        <v>2024</v>
      </c>
      <c r="I4" s="216">
        <f>Model!N2</f>
        <v>2025</v>
      </c>
      <c r="J4" s="216">
        <f>Model!O2</f>
        <v>2026</v>
      </c>
      <c r="K4" s="216">
        <f>Model!P2</f>
        <v>2027</v>
      </c>
      <c r="L4" s="216">
        <f>Model!Q2</f>
        <v>2028</v>
      </c>
    </row>
    <row r="5" spans="1:13" s="58" customFormat="1" ht="15.6" x14ac:dyDescent="0.3">
      <c r="D5" s="58" t="s">
        <v>245</v>
      </c>
      <c r="E5" s="62">
        <f>AVERAGE(Model!I8:L8)</f>
        <v>0.12172337870635669</v>
      </c>
      <c r="H5" s="61">
        <f t="shared" ref="H5:H7" si="0">E5</f>
        <v>0.12172337870635669</v>
      </c>
      <c r="I5" s="61">
        <f t="shared" ref="I5:L5" si="1">H5*(1-$E$8)</f>
        <v>0.10346487190040318</v>
      </c>
      <c r="J5" s="61">
        <f t="shared" si="1"/>
        <v>8.7945141115342698E-2</v>
      </c>
      <c r="K5" s="61">
        <f t="shared" si="1"/>
        <v>7.4753369948041298E-2</v>
      </c>
      <c r="L5" s="61">
        <f t="shared" si="1"/>
        <v>6.3540364455835108E-2</v>
      </c>
      <c r="M5" s="59"/>
    </row>
    <row r="6" spans="1:13" s="58" customFormat="1" ht="15.6" x14ac:dyDescent="0.3">
      <c r="D6" s="58" t="s">
        <v>246</v>
      </c>
      <c r="E6" s="62">
        <f>MAX(Model!I8:L8)</f>
        <v>0.19956886681458896</v>
      </c>
      <c r="H6" s="61">
        <f t="shared" si="0"/>
        <v>0.19956886681458896</v>
      </c>
      <c r="I6" s="61">
        <f t="shared" ref="I6:L6" si="2">H6*(1-$E$8)</f>
        <v>0.16963353679240062</v>
      </c>
      <c r="J6" s="61">
        <f t="shared" si="2"/>
        <v>0.14418850627354052</v>
      </c>
      <c r="K6" s="61">
        <f t="shared" si="2"/>
        <v>0.12256023033250944</v>
      </c>
      <c r="L6" s="61">
        <f t="shared" si="2"/>
        <v>0.10417619578263303</v>
      </c>
    </row>
    <row r="7" spans="1:13" s="58" customFormat="1" ht="15.6" x14ac:dyDescent="0.3">
      <c r="D7" s="58" t="s">
        <v>247</v>
      </c>
      <c r="E7" s="62">
        <f>MIN(Model!I8:L8)</f>
        <v>6.2395438355967281E-2</v>
      </c>
      <c r="H7" s="61">
        <f t="shared" si="0"/>
        <v>6.2395438355967281E-2</v>
      </c>
      <c r="I7" s="61">
        <f t="shared" ref="I7:L7" si="3">H7*(1-$E$8)</f>
        <v>5.3036122602572185E-2</v>
      </c>
      <c r="J7" s="61">
        <f t="shared" si="3"/>
        <v>4.5080704212186358E-2</v>
      </c>
      <c r="K7" s="61">
        <f t="shared" si="3"/>
        <v>3.8318598580358403E-2</v>
      </c>
      <c r="L7" s="61">
        <f t="shared" si="3"/>
        <v>3.2570808793304644E-2</v>
      </c>
    </row>
    <row r="8" spans="1:13" s="58" customFormat="1" ht="15.6" x14ac:dyDescent="0.3">
      <c r="D8" s="58" t="s">
        <v>249</v>
      </c>
      <c r="E8" s="63">
        <v>0.15</v>
      </c>
    </row>
    <row r="9" spans="1:13" s="58" customFormat="1" ht="15.6" x14ac:dyDescent="0.3">
      <c r="E9" s="59"/>
      <c r="F9" s="59"/>
      <c r="H9" s="59"/>
    </row>
    <row r="10" spans="1:13" s="58" customFormat="1" ht="15.6" x14ac:dyDescent="0.3"/>
    <row r="11" spans="1:13" s="58" customFormat="1" ht="15.6" x14ac:dyDescent="0.3"/>
    <row r="12" spans="1:13" s="58" customFormat="1" ht="15.6" x14ac:dyDescent="0.3"/>
    <row r="13" spans="1:13" s="58" customFormat="1" ht="15.6" x14ac:dyDescent="0.3"/>
    <row r="14" spans="1:13" s="58" customFormat="1" ht="15.6" x14ac:dyDescent="0.3"/>
    <row r="15" spans="1:13" s="58" customFormat="1" ht="15.6" x14ac:dyDescent="0.3"/>
    <row r="16" spans="1:13" s="58" customFormat="1" ht="15.6" x14ac:dyDescent="0.3"/>
    <row r="17" s="58" customFormat="1" ht="15.6" x14ac:dyDescent="0.3"/>
    <row r="18" s="58" customFormat="1" ht="15.6" x14ac:dyDescent="0.3"/>
    <row r="19" s="58" customFormat="1" ht="15.6" x14ac:dyDescent="0.3"/>
    <row r="20" s="58" customFormat="1" ht="15.6" x14ac:dyDescent="0.3"/>
    <row r="21" s="58" customFormat="1" ht="15.6" x14ac:dyDescent="0.3"/>
    <row r="22" s="58" customFormat="1" ht="15.6" x14ac:dyDescent="0.3"/>
    <row r="23" s="58" customFormat="1" ht="15.6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68BF-BFC4-467A-A00D-9A23E7E3B45E}">
  <dimension ref="A1:U29"/>
  <sheetViews>
    <sheetView showGridLines="0" topLeftCell="B5" zoomScale="83" zoomScaleNormal="100" workbookViewId="0">
      <selection activeCell="J8" sqref="J8"/>
    </sheetView>
  </sheetViews>
  <sheetFormatPr defaultColWidth="11.6640625" defaultRowHeight="15.6" x14ac:dyDescent="0.3"/>
  <cols>
    <col min="1" max="3" width="1.21875" style="75" customWidth="1"/>
    <col min="4" max="4" width="40.6640625" style="75" customWidth="1"/>
    <col min="5" max="6" width="12.6640625" style="75" customWidth="1"/>
    <col min="7" max="7" width="2.6640625" style="75" customWidth="1"/>
    <col min="8" max="9" width="11.77734375" style="75" bestFit="1" customWidth="1"/>
    <col min="10" max="10" width="14.88671875" style="75" bestFit="1" customWidth="1"/>
    <col min="11" max="12" width="11.77734375" style="75" bestFit="1" customWidth="1"/>
    <col min="13" max="13" width="14.5546875" style="75" customWidth="1"/>
    <col min="14" max="14" width="11.6640625" style="75"/>
    <col min="15" max="17" width="11.77734375" style="75" bestFit="1" customWidth="1"/>
    <col min="18" max="18" width="11.6640625" style="75"/>
    <col min="19" max="19" width="11.77734375" style="75" bestFit="1" customWidth="1"/>
    <col min="20" max="20" width="13.88671875" style="75" bestFit="1" customWidth="1"/>
    <col min="21" max="21" width="11.77734375" style="75" bestFit="1" customWidth="1"/>
    <col min="22" max="16384" width="11.6640625" style="75"/>
  </cols>
  <sheetData>
    <row r="1" spans="1:21" ht="32.4" x14ac:dyDescent="0.6">
      <c r="A1" s="1" t="str">
        <f>Index!A1</f>
        <v>Alkem Laboratories Limited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4" t="s">
        <v>413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5" spans="1:21" ht="21.15" customHeight="1" x14ac:dyDescent="0.3">
      <c r="D5" s="87"/>
      <c r="E5" s="88"/>
      <c r="F5" s="88"/>
      <c r="G5" s="88"/>
      <c r="H5" s="153" t="s">
        <v>255</v>
      </c>
      <c r="I5" s="153"/>
      <c r="J5" s="154"/>
      <c r="K5" s="154"/>
      <c r="L5" s="154"/>
      <c r="M5" s="154"/>
      <c r="N5" s="87"/>
      <c r="O5" s="153" t="s">
        <v>256</v>
      </c>
      <c r="P5" s="154"/>
      <c r="Q5" s="153"/>
      <c r="R5" s="87"/>
      <c r="S5" s="153" t="s">
        <v>257</v>
      </c>
      <c r="T5" s="154"/>
      <c r="U5" s="153"/>
    </row>
    <row r="6" spans="1:21" ht="16.5" customHeight="1" x14ac:dyDescent="0.3">
      <c r="D6" s="89"/>
      <c r="E6" s="88"/>
      <c r="F6" s="88"/>
      <c r="G6" s="88"/>
      <c r="H6" s="90" t="s">
        <v>258</v>
      </c>
      <c r="I6" s="90" t="s">
        <v>259</v>
      </c>
      <c r="J6" s="90" t="s">
        <v>260</v>
      </c>
      <c r="K6" s="90" t="s">
        <v>190</v>
      </c>
      <c r="L6" s="90" t="s">
        <v>176</v>
      </c>
      <c r="M6" s="90" t="s">
        <v>261</v>
      </c>
      <c r="N6" s="90"/>
      <c r="O6" s="90" t="s">
        <v>149</v>
      </c>
      <c r="P6" s="90" t="s">
        <v>165</v>
      </c>
      <c r="Q6" s="90" t="s">
        <v>262</v>
      </c>
      <c r="R6" s="91"/>
      <c r="S6" s="90" t="s">
        <v>263</v>
      </c>
      <c r="T6" s="90" t="s">
        <v>264</v>
      </c>
      <c r="U6" s="90" t="s">
        <v>265</v>
      </c>
    </row>
    <row r="7" spans="1:21" ht="14.25" customHeight="1" x14ac:dyDescent="0.3">
      <c r="D7" s="89" t="s">
        <v>266</v>
      </c>
      <c r="E7" s="88"/>
      <c r="F7" s="155" t="s">
        <v>298</v>
      </c>
      <c r="G7" s="88"/>
      <c r="H7" s="88" t="s">
        <v>287</v>
      </c>
      <c r="I7" s="92" t="s">
        <v>288</v>
      </c>
      <c r="J7" s="93" t="s">
        <v>225</v>
      </c>
      <c r="K7" s="88"/>
      <c r="L7" s="90" t="s">
        <v>267</v>
      </c>
      <c r="M7" s="93" t="s">
        <v>225</v>
      </c>
      <c r="N7" s="90"/>
      <c r="O7" s="93" t="s">
        <v>225</v>
      </c>
      <c r="P7" s="93" t="s">
        <v>225</v>
      </c>
      <c r="Q7" s="93" t="s">
        <v>225</v>
      </c>
      <c r="R7" s="91"/>
      <c r="S7" s="91" t="s">
        <v>268</v>
      </c>
      <c r="T7" s="91" t="s">
        <v>268</v>
      </c>
      <c r="U7" s="91" t="s">
        <v>268</v>
      </c>
    </row>
    <row r="8" spans="1:21" ht="21.15" customHeight="1" x14ac:dyDescent="0.3">
      <c r="D8" s="76" t="s">
        <v>269</v>
      </c>
      <c r="F8" s="99">
        <f>Comps_Data!H8</f>
        <v>500124</v>
      </c>
      <c r="H8" s="238">
        <f>Comps_Data!I8</f>
        <v>6445</v>
      </c>
      <c r="I8" s="239">
        <f>Comps_Data!J8</f>
        <v>166.62</v>
      </c>
      <c r="J8" s="79">
        <f t="shared" ref="J8:J17" si="0">H8*I8</f>
        <v>1073865.9000000001</v>
      </c>
      <c r="K8" s="240">
        <f>Comps_Data!K8</f>
        <v>19766.03</v>
      </c>
      <c r="L8" s="238">
        <f>Comps_Data!L8</f>
        <v>72239.47</v>
      </c>
      <c r="M8" s="235">
        <f t="shared" ref="M8:M17" si="1">J8+K8-L8</f>
        <v>1021392.4600000002</v>
      </c>
      <c r="N8" s="236"/>
      <c r="O8" s="238">
        <f>Comps_Data!M8</f>
        <v>270140.78000000003</v>
      </c>
      <c r="P8" s="238">
        <f>Comps_Data!N8</f>
        <v>80632.399999999994</v>
      </c>
      <c r="Q8" s="238">
        <f>Comps_Data!O8</f>
        <v>51982.55</v>
      </c>
      <c r="R8" s="81"/>
      <c r="S8" s="82">
        <f t="shared" ref="S8:S17" si="2">M8/O8</f>
        <v>3.7809636146012462</v>
      </c>
      <c r="T8" s="82">
        <f t="shared" ref="T8:T17" si="3">M8/P8</f>
        <v>12.667270972958764</v>
      </c>
      <c r="U8" s="82">
        <f t="shared" ref="U8:U17" si="4">J8/Q8</f>
        <v>20.658199722791593</v>
      </c>
    </row>
    <row r="9" spans="1:21" ht="21.15" customHeight="1" x14ac:dyDescent="0.3">
      <c r="D9" s="76" t="s">
        <v>270</v>
      </c>
      <c r="F9" s="99" t="str">
        <f>Comps_Data!H9</f>
        <v>ZYDUSLIFE</v>
      </c>
      <c r="H9" s="238">
        <f>Comps_Data!I9</f>
        <v>923.25</v>
      </c>
      <c r="I9" s="239">
        <f>Comps_Data!J9</f>
        <v>1012.08</v>
      </c>
      <c r="J9" s="79">
        <f t="shared" si="0"/>
        <v>934402.86</v>
      </c>
      <c r="K9" s="240">
        <f>Comps_Data!K9</f>
        <v>1910.79</v>
      </c>
      <c r="L9" s="238">
        <f>Comps_Data!L9</f>
        <v>15129.96</v>
      </c>
      <c r="M9" s="235">
        <f t="shared" si="1"/>
        <v>921183.69000000006</v>
      </c>
      <c r="N9" s="236"/>
      <c r="O9" s="238">
        <f>Comps_Data!M9</f>
        <v>187864.45</v>
      </c>
      <c r="P9" s="238">
        <f>Comps_Data!N9</f>
        <v>49048.66</v>
      </c>
      <c r="Q9" s="238">
        <f>Comps_Data!O9</f>
        <v>29610.720000000001</v>
      </c>
      <c r="R9" s="81"/>
      <c r="S9" s="82">
        <f t="shared" si="2"/>
        <v>4.903448683345891</v>
      </c>
      <c r="T9" s="82">
        <f t="shared" si="3"/>
        <v>18.781016443670428</v>
      </c>
      <c r="U9" s="82">
        <f t="shared" si="4"/>
        <v>31.556235714633075</v>
      </c>
    </row>
    <row r="10" spans="1:21" ht="21.15" customHeight="1" x14ac:dyDescent="0.3">
      <c r="D10" s="76" t="s">
        <v>271</v>
      </c>
      <c r="F10" s="99">
        <f>Comps_Data!H10</f>
        <v>500420</v>
      </c>
      <c r="H10" s="238">
        <f>Comps_Data!I10</f>
        <v>2627.1</v>
      </c>
      <c r="I10" s="239">
        <f>Comps_Data!J10</f>
        <v>338.34</v>
      </c>
      <c r="J10" s="79">
        <f t="shared" si="0"/>
        <v>888853.01399999985</v>
      </c>
      <c r="K10" s="240">
        <f>Comps_Data!K10</f>
        <v>44697.86</v>
      </c>
      <c r="L10" s="238">
        <f>Comps_Data!L10</f>
        <v>7866</v>
      </c>
      <c r="M10" s="235">
        <f t="shared" si="1"/>
        <v>925684.87399999984</v>
      </c>
      <c r="N10" s="236"/>
      <c r="O10" s="238">
        <f>Comps_Data!M10</f>
        <v>104303.15</v>
      </c>
      <c r="P10" s="238">
        <f>Comps_Data!N10</f>
        <v>31025.41</v>
      </c>
      <c r="Q10" s="238">
        <f>Comps_Data!O10</f>
        <v>14878.34</v>
      </c>
      <c r="R10" s="81"/>
      <c r="S10" s="82">
        <f t="shared" si="2"/>
        <v>8.8749464805233576</v>
      </c>
      <c r="T10" s="82">
        <f t="shared" si="3"/>
        <v>29.836346207834154</v>
      </c>
      <c r="U10" s="82">
        <f t="shared" si="4"/>
        <v>59.741410264854807</v>
      </c>
    </row>
    <row r="11" spans="1:21" ht="21.15" customHeight="1" x14ac:dyDescent="0.3">
      <c r="D11" s="76" t="s">
        <v>272</v>
      </c>
      <c r="F11" s="99" t="str">
        <f>Comps_Data!H11</f>
        <v>MANKIND</v>
      </c>
      <c r="H11" s="238">
        <f>Comps_Data!I11</f>
        <v>2154.0500000000002</v>
      </c>
      <c r="I11" s="239">
        <f>Comps_Data!J11</f>
        <v>400.95</v>
      </c>
      <c r="J11" s="79">
        <f t="shared" si="0"/>
        <v>863666.34750000003</v>
      </c>
      <c r="K11" s="240">
        <f>Comps_Data!K11</f>
        <v>1786.67</v>
      </c>
      <c r="L11" s="238">
        <f>Comps_Data!L11</f>
        <v>23159</v>
      </c>
      <c r="M11" s="235">
        <f t="shared" si="1"/>
        <v>842294.01750000007</v>
      </c>
      <c r="N11" s="236"/>
      <c r="O11" s="238">
        <f>Comps_Data!M11</f>
        <v>99037.7</v>
      </c>
      <c r="P11" s="238">
        <f>Comps_Data!N11</f>
        <v>23053.59</v>
      </c>
      <c r="Q11" s="238">
        <f>Comps_Data!O11</f>
        <v>17197.05</v>
      </c>
      <c r="R11" s="81"/>
      <c r="S11" s="82">
        <f t="shared" si="2"/>
        <v>8.5047816891951253</v>
      </c>
      <c r="T11" s="82">
        <f t="shared" si="3"/>
        <v>36.536349327805347</v>
      </c>
      <c r="U11" s="82">
        <f t="shared" si="4"/>
        <v>50.221773356476845</v>
      </c>
    </row>
    <row r="12" spans="1:21" ht="21.15" customHeight="1" x14ac:dyDescent="0.3">
      <c r="D12" s="76" t="s">
        <v>273</v>
      </c>
      <c r="F12" s="99">
        <f>Comps_Data!H12</f>
        <v>500257</v>
      </c>
      <c r="H12" s="238">
        <f>Comps_Data!I12</f>
        <v>1612.2</v>
      </c>
      <c r="I12" s="239">
        <f>Comps_Data!J12</f>
        <v>457.21</v>
      </c>
      <c r="J12" s="79">
        <f t="shared" si="0"/>
        <v>737113.96199999994</v>
      </c>
      <c r="K12" s="240">
        <f>Comps_Data!K12</f>
        <v>37684.11</v>
      </c>
      <c r="L12" s="238">
        <f>Comps_Data!L12</f>
        <v>17254</v>
      </c>
      <c r="M12" s="235">
        <f t="shared" si="1"/>
        <v>757544.07199999993</v>
      </c>
      <c r="N12" s="236"/>
      <c r="O12" s="238">
        <f>Comps_Data!M12</f>
        <v>193799.04000000001</v>
      </c>
      <c r="P12" s="238">
        <f>Comps_Data!N12</f>
        <v>31333.96</v>
      </c>
      <c r="Q12" s="238">
        <f>Comps_Data!O12</f>
        <v>17833.439999999999</v>
      </c>
      <c r="R12" s="81"/>
      <c r="S12" s="82">
        <f t="shared" si="2"/>
        <v>3.9089155033998098</v>
      </c>
      <c r="T12" s="82">
        <f t="shared" si="3"/>
        <v>24.176454938986325</v>
      </c>
      <c r="U12" s="82">
        <f t="shared" si="4"/>
        <v>41.333245969369905</v>
      </c>
    </row>
    <row r="13" spans="1:21" ht="21.15" customHeight="1" x14ac:dyDescent="0.3">
      <c r="D13" s="76" t="s">
        <v>274</v>
      </c>
      <c r="F13" s="99" t="str">
        <f>Comps_Data!H13</f>
        <v>AUROPHARMA</v>
      </c>
      <c r="H13" s="238">
        <f>Comps_Data!I13</f>
        <v>1043.8</v>
      </c>
      <c r="I13" s="239">
        <f>Comps_Data!J13</f>
        <v>586.5</v>
      </c>
      <c r="J13" s="79">
        <f t="shared" si="0"/>
        <v>612188.69999999995</v>
      </c>
      <c r="K13" s="240">
        <f>Comps_Data!K13</f>
        <v>66201.73</v>
      </c>
      <c r="L13" s="238">
        <f>Comps_Data!L13</f>
        <v>71184</v>
      </c>
      <c r="M13" s="235">
        <f t="shared" si="1"/>
        <v>607206.42999999993</v>
      </c>
      <c r="N13" s="236"/>
      <c r="O13" s="238">
        <f>Comps_Data!M13</f>
        <v>277103.84999999998</v>
      </c>
      <c r="P13" s="238">
        <f>Comps_Data!N13</f>
        <v>48727.42</v>
      </c>
      <c r="Q13" s="238">
        <f>Comps_Data!O13</f>
        <v>27586.32</v>
      </c>
      <c r="R13" s="81"/>
      <c r="S13" s="82">
        <f t="shared" si="2"/>
        <v>2.1912594502025144</v>
      </c>
      <c r="T13" s="82">
        <f t="shared" si="3"/>
        <v>12.461288325956925</v>
      </c>
      <c r="U13" s="82">
        <f t="shared" si="4"/>
        <v>22.191749388827503</v>
      </c>
    </row>
    <row r="14" spans="1:21" ht="21.15" customHeight="1" x14ac:dyDescent="0.3">
      <c r="D14" s="76" t="s">
        <v>275</v>
      </c>
      <c r="F14" s="99">
        <f>Comps_Data!H14</f>
        <v>500488</v>
      </c>
      <c r="H14" s="238">
        <f>Comps_Data!I14</f>
        <v>28686.2</v>
      </c>
      <c r="I14" s="239">
        <f>Comps_Data!J14</f>
        <v>21.25</v>
      </c>
      <c r="J14" s="79">
        <f t="shared" si="0"/>
        <v>609581.75</v>
      </c>
      <c r="K14" s="240">
        <f>Comps_Data!K14</f>
        <v>911.48</v>
      </c>
      <c r="L14" s="238">
        <f>Comps_Data!L14</f>
        <v>19432</v>
      </c>
      <c r="M14" s="235">
        <f t="shared" si="1"/>
        <v>591061.23</v>
      </c>
      <c r="N14" s="236"/>
      <c r="O14" s="238">
        <f>Comps_Data!M14</f>
        <v>57287.35</v>
      </c>
      <c r="P14" s="238">
        <f>Comps_Data!N14</f>
        <v>13599.67</v>
      </c>
      <c r="Q14" s="238">
        <f>Comps_Data!O14</f>
        <v>11406.77</v>
      </c>
      <c r="R14" s="81"/>
      <c r="S14" s="82">
        <f t="shared" si="2"/>
        <v>10.31748248086183</v>
      </c>
      <c r="T14" s="82">
        <f t="shared" si="3"/>
        <v>43.461439137861433</v>
      </c>
      <c r="U14" s="82">
        <f t="shared" si="4"/>
        <v>53.440347267456076</v>
      </c>
    </row>
    <row r="15" spans="1:21" ht="21.15" customHeight="1" x14ac:dyDescent="0.3">
      <c r="D15" s="76" t="s">
        <v>276</v>
      </c>
      <c r="F15" s="99">
        <f>Comps_Data!H15</f>
        <v>500660</v>
      </c>
      <c r="H15" s="238">
        <f>Comps_Data!I15</f>
        <v>2169</v>
      </c>
      <c r="I15" s="239">
        <f>Comps_Data!J15</f>
        <v>169.37</v>
      </c>
      <c r="J15" s="79">
        <f t="shared" si="0"/>
        <v>367363.53</v>
      </c>
      <c r="K15" s="240">
        <f>Comps_Data!K15</f>
        <v>212.88</v>
      </c>
      <c r="L15" s="238">
        <f>Comps_Data!L15</f>
        <v>15984</v>
      </c>
      <c r="M15" s="235">
        <f t="shared" si="1"/>
        <v>351592.41000000003</v>
      </c>
      <c r="N15" s="236"/>
      <c r="O15" s="238">
        <f>Comps_Data!M15</f>
        <v>32971.9</v>
      </c>
      <c r="P15" s="238">
        <f>Comps_Data!N15</f>
        <v>7958.68</v>
      </c>
      <c r="Q15" s="238">
        <f>Comps_Data!O15</f>
        <v>5266.43</v>
      </c>
      <c r="R15" s="81"/>
      <c r="S15" s="82">
        <f t="shared" si="2"/>
        <v>10.663395497378071</v>
      </c>
      <c r="T15" s="82">
        <f t="shared" si="3"/>
        <v>44.177226625520817</v>
      </c>
      <c r="U15" s="82">
        <f t="shared" si="4"/>
        <v>69.75570357908488</v>
      </c>
    </row>
    <row r="16" spans="1:21" ht="21.15" customHeight="1" x14ac:dyDescent="0.3">
      <c r="D16" s="76" t="s">
        <v>277</v>
      </c>
      <c r="F16" s="99" t="str">
        <f>Comps_Data!H16</f>
        <v>IPCALAB</v>
      </c>
      <c r="H16" s="238">
        <f>Comps_Data!I16</f>
        <v>1217.7</v>
      </c>
      <c r="I16" s="239">
        <f>Comps_Data!J16</f>
        <v>253.64</v>
      </c>
      <c r="J16" s="79">
        <f t="shared" si="0"/>
        <v>308857.42800000001</v>
      </c>
      <c r="K16" s="240">
        <f>Comps_Data!K16</f>
        <v>19789.53</v>
      </c>
      <c r="L16" s="238">
        <f>Comps_Data!L16</f>
        <v>9300</v>
      </c>
      <c r="M16" s="235">
        <f t="shared" si="1"/>
        <v>319346.95799999998</v>
      </c>
      <c r="N16" s="236"/>
      <c r="O16" s="238">
        <f>Comps_Data!M16</f>
        <v>71529.13</v>
      </c>
      <c r="P16" s="238">
        <f>Comps_Data!N16</f>
        <v>11088.19</v>
      </c>
      <c r="Q16" s="238">
        <f>Comps_Data!O16</f>
        <v>5618.65</v>
      </c>
      <c r="R16" s="81"/>
      <c r="S16" s="82">
        <f t="shared" si="2"/>
        <v>4.4645720981088397</v>
      </c>
      <c r="T16" s="82">
        <f t="shared" si="3"/>
        <v>28.800639058313394</v>
      </c>
      <c r="U16" s="82">
        <f t="shared" si="4"/>
        <v>54.970042269940294</v>
      </c>
    </row>
    <row r="17" spans="3:21" ht="21.15" customHeight="1" x14ac:dyDescent="0.3">
      <c r="D17" s="76" t="s">
        <v>278</v>
      </c>
      <c r="F17" s="99" t="str">
        <f>Comps_Data!H17</f>
        <v>GLAND</v>
      </c>
      <c r="H17" s="238">
        <f>Comps_Data!I17</f>
        <v>1861.1</v>
      </c>
      <c r="I17" s="239">
        <f>Comps_Data!J17</f>
        <v>164.72</v>
      </c>
      <c r="J17" s="79">
        <f t="shared" si="0"/>
        <v>306560.39199999999</v>
      </c>
      <c r="K17" s="240">
        <f>Comps_Data!K17</f>
        <v>3555.02</v>
      </c>
      <c r="L17" s="238">
        <f>Comps_Data!L17</f>
        <v>21355</v>
      </c>
      <c r="M17" s="235">
        <f t="shared" si="1"/>
        <v>288760.41200000001</v>
      </c>
      <c r="N17" s="236"/>
      <c r="O17" s="238">
        <f>Comps_Data!M17</f>
        <v>48912.58</v>
      </c>
      <c r="P17" s="238">
        <f>Comps_Data!N17</f>
        <v>10292.17</v>
      </c>
      <c r="Q17" s="238">
        <f>Comps_Data!O17</f>
        <v>6559.04</v>
      </c>
      <c r="R17" s="81"/>
      <c r="S17" s="82">
        <f t="shared" si="2"/>
        <v>5.9036021407989523</v>
      </c>
      <c r="T17" s="82">
        <f t="shared" si="3"/>
        <v>28.056319707117158</v>
      </c>
      <c r="U17" s="82">
        <f t="shared" si="4"/>
        <v>46.738606869297946</v>
      </c>
    </row>
    <row r="18" spans="3:21" ht="21.15" customHeight="1" x14ac:dyDescent="0.3">
      <c r="D18" s="76"/>
      <c r="H18" s="77"/>
      <c r="I18" s="78"/>
      <c r="J18" s="79"/>
      <c r="K18" s="77"/>
      <c r="L18" s="77"/>
      <c r="M18" s="79"/>
      <c r="N18" s="80"/>
      <c r="O18" s="77"/>
      <c r="P18" s="77"/>
      <c r="Q18" s="77"/>
      <c r="R18" s="81"/>
      <c r="S18" s="82"/>
      <c r="T18" s="82"/>
      <c r="U18" s="82"/>
    </row>
    <row r="19" spans="3:21" ht="21.15" customHeight="1" x14ac:dyDescent="0.3">
      <c r="D19" s="94" t="s">
        <v>279</v>
      </c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5">
        <f t="shared" ref="S19:U19" si="5">AVERAGE(S8:S17)</f>
        <v>6.3513367638415641</v>
      </c>
      <c r="T19" s="95">
        <f t="shared" si="5"/>
        <v>27.895435074602471</v>
      </c>
      <c r="U19" s="95">
        <f t="shared" si="5"/>
        <v>45.060731440273287</v>
      </c>
    </row>
    <row r="20" spans="3:21" ht="21.15" customHeight="1" x14ac:dyDescent="0.3">
      <c r="D20" s="94" t="s">
        <v>280</v>
      </c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5">
        <f t="shared" ref="S20:U20" si="6">MEDIAN(S8:S17)</f>
        <v>5.4035254120724217</v>
      </c>
      <c r="T20" s="95">
        <f t="shared" si="6"/>
        <v>28.428479382715274</v>
      </c>
      <c r="U20" s="95">
        <f t="shared" si="6"/>
        <v>48.480190112887399</v>
      </c>
    </row>
    <row r="22" spans="3:21" x14ac:dyDescent="0.3">
      <c r="D22" s="76" t="s">
        <v>1</v>
      </c>
      <c r="F22" s="75" t="str">
        <f>Comps_Data!H6</f>
        <v>ALKEM</v>
      </c>
      <c r="H22" s="238">
        <f>Comps_Data!I6</f>
        <v>5421.15</v>
      </c>
      <c r="I22" s="239">
        <f>Comps_Data!J6</f>
        <v>119.57</v>
      </c>
      <c r="J22" s="235">
        <f t="shared" ref="J22" si="7">H22*I22</f>
        <v>648206.90549999988</v>
      </c>
      <c r="K22" s="238">
        <f>Comps_Data!K6</f>
        <v>14367.84</v>
      </c>
      <c r="L22" s="238">
        <f>Comps_Data!L6</f>
        <v>35943.4</v>
      </c>
      <c r="M22" s="235">
        <f t="shared" ref="M22" si="8">J22+K22-L22</f>
        <v>626631.34549999982</v>
      </c>
      <c r="N22" s="236"/>
      <c r="O22" s="238">
        <f>Comps_Data!M6</f>
        <v>125802.83</v>
      </c>
      <c r="P22" s="238">
        <f>Comps_Data!N6</f>
        <v>21840.240000000002</v>
      </c>
      <c r="Q22" s="238">
        <f>Comps_Data!O6</f>
        <v>15664.56</v>
      </c>
      <c r="R22" s="81"/>
      <c r="S22" s="82">
        <f t="shared" ref="S22" si="9">M22/O22</f>
        <v>4.9810592138507523</v>
      </c>
      <c r="T22" s="82">
        <f t="shared" ref="T22" si="10">M22/P22</f>
        <v>28.691596131727479</v>
      </c>
      <c r="U22" s="82">
        <f t="shared" ref="U22" si="11">J22/Q22</f>
        <v>41.380473214696096</v>
      </c>
    </row>
    <row r="24" spans="3:21" x14ac:dyDescent="0.3">
      <c r="C24" s="83"/>
      <c r="D24" s="96" t="s">
        <v>281</v>
      </c>
      <c r="E24" s="97" t="s">
        <v>282</v>
      </c>
      <c r="F24" s="96"/>
      <c r="G24" s="96"/>
      <c r="H24" s="98" t="s">
        <v>261</v>
      </c>
      <c r="I24" s="98" t="s">
        <v>283</v>
      </c>
      <c r="J24" s="98" t="s">
        <v>284</v>
      </c>
      <c r="K24" s="98" t="s">
        <v>259</v>
      </c>
      <c r="L24" s="98" t="s">
        <v>285</v>
      </c>
    </row>
    <row r="25" spans="3:21" x14ac:dyDescent="0.3">
      <c r="D25" s="75" t="s">
        <v>286</v>
      </c>
      <c r="E25" s="156">
        <f>S20</f>
        <v>5.4035254120724217</v>
      </c>
      <c r="F25" s="84"/>
      <c r="H25" s="85">
        <f>E25*O22</f>
        <v>679778.78881562687</v>
      </c>
      <c r="I25" s="85">
        <f>K22-L22</f>
        <v>-21575.56</v>
      </c>
      <c r="J25" s="85">
        <f>H25-I25</f>
        <v>701354.34881562693</v>
      </c>
      <c r="K25" s="85">
        <f t="shared" ref="K25:K27" si="12">$I$22</f>
        <v>119.57</v>
      </c>
      <c r="L25" s="86">
        <f t="shared" ref="L25:L27" si="13">J25/K25</f>
        <v>5865.6381100244789</v>
      </c>
    </row>
    <row r="26" spans="3:21" x14ac:dyDescent="0.3">
      <c r="D26" s="75" t="s">
        <v>264</v>
      </c>
      <c r="E26" s="156">
        <f>T20</f>
        <v>28.428479382715274</v>
      </c>
      <c r="F26" s="84"/>
      <c r="H26" s="85">
        <f>E26*P22</f>
        <v>620884.81255355349</v>
      </c>
      <c r="I26" s="85">
        <f t="shared" ref="I26:I27" si="14">I25</f>
        <v>-21575.56</v>
      </c>
      <c r="J26" s="85">
        <f>H26-I26</f>
        <v>642460.37255355355</v>
      </c>
      <c r="K26" s="85">
        <f t="shared" si="12"/>
        <v>119.57</v>
      </c>
      <c r="L26" s="86">
        <f t="shared" si="13"/>
        <v>5373.0900104838474</v>
      </c>
    </row>
    <row r="27" spans="3:21" x14ac:dyDescent="0.3">
      <c r="D27" s="75" t="s">
        <v>265</v>
      </c>
      <c r="E27" s="156">
        <f>U20</f>
        <v>48.480190112887399</v>
      </c>
      <c r="F27" s="84"/>
      <c r="H27" s="85">
        <f>+J27+I27</f>
        <v>737845.28683473135</v>
      </c>
      <c r="I27" s="85">
        <f t="shared" si="14"/>
        <v>-21575.56</v>
      </c>
      <c r="J27" s="85">
        <f>E27*Q22</f>
        <v>759420.8468347314</v>
      </c>
      <c r="K27" s="85">
        <f t="shared" si="12"/>
        <v>119.57</v>
      </c>
      <c r="L27" s="86">
        <f t="shared" si="13"/>
        <v>6351.2657592601108</v>
      </c>
    </row>
    <row r="29" spans="3:21" x14ac:dyDescent="0.3">
      <c r="E29" s="274" t="s">
        <v>431</v>
      </c>
      <c r="F29" s="274"/>
      <c r="G29" s="274"/>
      <c r="H29" s="274"/>
      <c r="I29" s="274"/>
      <c r="J29" s="274"/>
      <c r="K29" s="274"/>
      <c r="L29" s="274"/>
      <c r="M29" s="274"/>
    </row>
  </sheetData>
  <pageMargins left="0.7" right="0.7" top="0.75" bottom="0.75" header="0.3" footer="0.3"/>
  <pageSetup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615E-AC59-4234-AF5F-22DEF3BAFB5A}">
  <dimension ref="A1:P19"/>
  <sheetViews>
    <sheetView showGridLines="0" topLeftCell="E1" zoomScaleNormal="100" workbookViewId="0">
      <selection activeCell="P8" sqref="P8"/>
    </sheetView>
  </sheetViews>
  <sheetFormatPr defaultColWidth="9" defaultRowHeight="14.4" x14ac:dyDescent="0.3"/>
  <cols>
    <col min="1" max="2" width="1.21875" style="3" customWidth="1"/>
    <col min="3" max="3" width="1.21875" style="70" customWidth="1"/>
    <col min="4" max="4" width="40.6640625" style="215" customWidth="1"/>
    <col min="5" max="6" width="12.6640625" style="215" customWidth="1"/>
    <col min="7" max="7" width="2.6640625" style="215" customWidth="1"/>
    <col min="8" max="8" width="19.33203125" style="215" customWidth="1"/>
    <col min="9" max="11" width="11.6640625" style="215" customWidth="1"/>
    <col min="12" max="16" width="11.6640625" style="3" customWidth="1"/>
    <col min="17" max="16384" width="9" style="3"/>
  </cols>
  <sheetData>
    <row r="1" spans="1:16" ht="32.4" x14ac:dyDescent="0.6">
      <c r="A1" s="1" t="str">
        <f>Index!A1</f>
        <v>Alkem Laboratories Limited</v>
      </c>
      <c r="B1" s="2"/>
      <c r="C1" s="2"/>
      <c r="D1" s="2"/>
      <c r="E1" s="2"/>
      <c r="F1" s="22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6" x14ac:dyDescent="0.3">
      <c r="A2" s="4" t="s">
        <v>412</v>
      </c>
      <c r="B2" s="2"/>
      <c r="C2" s="2"/>
      <c r="D2" s="2"/>
      <c r="E2" s="2"/>
      <c r="F2" s="221"/>
      <c r="G2" s="2"/>
      <c r="H2" s="2"/>
      <c r="I2" s="2"/>
      <c r="J2" s="2"/>
      <c r="K2" s="2"/>
      <c r="L2" s="2"/>
      <c r="M2" s="2"/>
      <c r="N2" s="2"/>
      <c r="O2" s="2"/>
      <c r="P2" s="2"/>
    </row>
    <row r="5" spans="1:16" x14ac:dyDescent="0.3">
      <c r="C5" s="3"/>
      <c r="D5" s="214" t="s">
        <v>297</v>
      </c>
      <c r="E5" s="222"/>
      <c r="F5" s="222"/>
      <c r="G5" s="222"/>
      <c r="H5" s="223" t="s">
        <v>298</v>
      </c>
      <c r="I5" s="224" t="s">
        <v>258</v>
      </c>
      <c r="J5" s="224" t="s">
        <v>259</v>
      </c>
      <c r="K5" s="224" t="s">
        <v>190</v>
      </c>
      <c r="L5" s="224" t="s">
        <v>176</v>
      </c>
      <c r="M5" s="224" t="s">
        <v>149</v>
      </c>
      <c r="N5" s="224" t="s">
        <v>165</v>
      </c>
      <c r="O5" s="229" t="s">
        <v>295</v>
      </c>
      <c r="P5" s="224" t="s">
        <v>296</v>
      </c>
    </row>
    <row r="6" spans="1:16" s="58" customFormat="1" ht="15.6" x14ac:dyDescent="0.3">
      <c r="D6" s="226" t="s">
        <v>1</v>
      </c>
      <c r="H6" s="227" t="s">
        <v>289</v>
      </c>
      <c r="I6" s="77">
        <v>5421.15</v>
      </c>
      <c r="J6" s="77">
        <v>119.57</v>
      </c>
      <c r="K6" s="77">
        <v>14367.84</v>
      </c>
      <c r="L6" s="77">
        <v>35943.4</v>
      </c>
      <c r="M6" s="77">
        <v>125802.83</v>
      </c>
      <c r="N6" s="77">
        <v>21840.240000000002</v>
      </c>
      <c r="O6" s="77">
        <v>15664.56</v>
      </c>
      <c r="P6" s="225">
        <v>0.15679999999999999</v>
      </c>
    </row>
    <row r="7" spans="1:16" s="58" customFormat="1" ht="15.6" x14ac:dyDescent="0.3">
      <c r="D7" s="230"/>
      <c r="E7" s="231"/>
      <c r="F7" s="231"/>
      <c r="G7" s="231"/>
      <c r="H7" s="232"/>
      <c r="I7" s="233"/>
      <c r="J7" s="233"/>
      <c r="K7" s="233"/>
      <c r="L7" s="233"/>
      <c r="M7" s="233"/>
      <c r="N7" s="233"/>
      <c r="O7" s="233"/>
      <c r="P7" s="234"/>
    </row>
    <row r="8" spans="1:16" s="58" customFormat="1" ht="15.6" x14ac:dyDescent="0.3">
      <c r="D8" s="226" t="s">
        <v>269</v>
      </c>
      <c r="H8" s="227">
        <v>500124</v>
      </c>
      <c r="I8" s="77">
        <v>6445</v>
      </c>
      <c r="J8" s="77">
        <v>166.62</v>
      </c>
      <c r="K8" s="77">
        <v>19766.03</v>
      </c>
      <c r="L8" s="77">
        <v>72239.47</v>
      </c>
      <c r="M8" s="77">
        <v>270140.78000000003</v>
      </c>
      <c r="N8" s="77">
        <v>80632.399999999994</v>
      </c>
      <c r="O8" s="77">
        <v>51982.55</v>
      </c>
      <c r="P8" s="225">
        <v>0.24460000000000001</v>
      </c>
    </row>
    <row r="9" spans="1:16" s="58" customFormat="1" ht="15.6" x14ac:dyDescent="0.3">
      <c r="D9" s="226" t="s">
        <v>270</v>
      </c>
      <c r="H9" s="227" t="s">
        <v>290</v>
      </c>
      <c r="I9" s="77">
        <v>923.25</v>
      </c>
      <c r="J9" s="77">
        <v>1012.08</v>
      </c>
      <c r="K9" s="77">
        <v>1910.79</v>
      </c>
      <c r="L9" s="77">
        <v>15129.96</v>
      </c>
      <c r="M9" s="77">
        <v>187864.45</v>
      </c>
      <c r="N9" s="77">
        <v>49048.66</v>
      </c>
      <c r="O9" s="77">
        <v>29610.720000000001</v>
      </c>
      <c r="P9" s="225">
        <v>0.20549999999999999</v>
      </c>
    </row>
    <row r="10" spans="1:16" s="58" customFormat="1" ht="15.6" x14ac:dyDescent="0.3">
      <c r="D10" s="226" t="s">
        <v>271</v>
      </c>
      <c r="H10" s="227">
        <v>500420</v>
      </c>
      <c r="I10" s="77">
        <v>2627.1</v>
      </c>
      <c r="J10" s="77">
        <v>338.34</v>
      </c>
      <c r="K10" s="77">
        <v>44697.86</v>
      </c>
      <c r="L10" s="77">
        <v>7866</v>
      </c>
      <c r="M10" s="77">
        <v>104303.15</v>
      </c>
      <c r="N10" s="77">
        <v>31025.41</v>
      </c>
      <c r="O10" s="77">
        <v>14878.34</v>
      </c>
      <c r="P10" s="225">
        <v>0.30640000000000001</v>
      </c>
    </row>
    <row r="11" spans="1:16" s="58" customFormat="1" ht="15.6" x14ac:dyDescent="0.3">
      <c r="D11" s="226" t="s">
        <v>272</v>
      </c>
      <c r="H11" s="227" t="s">
        <v>291</v>
      </c>
      <c r="I11" s="77">
        <v>2154.0500000000002</v>
      </c>
      <c r="J11" s="77">
        <v>400.95</v>
      </c>
      <c r="K11" s="77">
        <v>1786.67</v>
      </c>
      <c r="L11" s="77">
        <v>23159</v>
      </c>
      <c r="M11" s="77">
        <v>99037.7</v>
      </c>
      <c r="N11" s="77">
        <v>23053.59</v>
      </c>
      <c r="O11" s="77">
        <v>17197.05</v>
      </c>
      <c r="P11" s="225">
        <v>0.20230000000000001</v>
      </c>
    </row>
    <row r="12" spans="1:16" s="58" customFormat="1" ht="15.6" x14ac:dyDescent="0.3">
      <c r="D12" s="226" t="s">
        <v>273</v>
      </c>
      <c r="H12" s="227">
        <v>500257</v>
      </c>
      <c r="I12" s="77">
        <v>1612.2</v>
      </c>
      <c r="J12" s="77">
        <v>457.21</v>
      </c>
      <c r="K12" s="77">
        <v>37684.11</v>
      </c>
      <c r="L12" s="77">
        <v>17254</v>
      </c>
      <c r="M12" s="77">
        <v>193799.04000000001</v>
      </c>
      <c r="N12" s="77">
        <v>31333.96</v>
      </c>
      <c r="O12" s="77">
        <v>17833.439999999999</v>
      </c>
      <c r="P12" s="225">
        <v>0.17100000000000001</v>
      </c>
    </row>
    <row r="13" spans="1:16" s="58" customFormat="1" ht="15.6" x14ac:dyDescent="0.3">
      <c r="D13" s="226" t="s">
        <v>274</v>
      </c>
      <c r="H13" s="227" t="s">
        <v>292</v>
      </c>
      <c r="I13" s="77">
        <v>1043.8</v>
      </c>
      <c r="J13" s="77">
        <v>586.5</v>
      </c>
      <c r="K13" s="77">
        <v>66201.73</v>
      </c>
      <c r="L13" s="77">
        <v>71184</v>
      </c>
      <c r="M13" s="77">
        <v>277103.84999999998</v>
      </c>
      <c r="N13" s="77">
        <v>48727.42</v>
      </c>
      <c r="O13" s="77">
        <v>27586.32</v>
      </c>
      <c r="P13" s="225">
        <v>0.28670000000000001</v>
      </c>
    </row>
    <row r="14" spans="1:16" s="58" customFormat="1" ht="15.6" x14ac:dyDescent="0.3">
      <c r="D14" s="226" t="s">
        <v>275</v>
      </c>
      <c r="H14" s="227">
        <v>500488</v>
      </c>
      <c r="I14" s="77">
        <v>28686.2</v>
      </c>
      <c r="J14" s="77">
        <v>21.25</v>
      </c>
      <c r="K14" s="77">
        <v>911.48</v>
      </c>
      <c r="L14" s="77">
        <v>19432</v>
      </c>
      <c r="M14" s="77">
        <v>57287.35</v>
      </c>
      <c r="N14" s="77">
        <v>13599.67</v>
      </c>
      <c r="O14" s="77">
        <v>11406.77</v>
      </c>
      <c r="P14" s="225">
        <v>0.25440000000000002</v>
      </c>
    </row>
    <row r="15" spans="1:16" s="58" customFormat="1" ht="15.6" x14ac:dyDescent="0.3">
      <c r="D15" s="228" t="s">
        <v>276</v>
      </c>
      <c r="H15" s="227">
        <v>500660</v>
      </c>
      <c r="I15" s="77">
        <v>2169</v>
      </c>
      <c r="J15" s="77">
        <v>169.37</v>
      </c>
      <c r="K15" s="77">
        <v>212.88</v>
      </c>
      <c r="L15" s="77">
        <v>15984</v>
      </c>
      <c r="M15" s="77">
        <v>32971.9</v>
      </c>
      <c r="N15" s="77">
        <v>7958.68</v>
      </c>
      <c r="O15" s="77">
        <v>5266.43</v>
      </c>
      <c r="P15" s="225">
        <v>0.28089999999999998</v>
      </c>
    </row>
    <row r="16" spans="1:16" s="58" customFormat="1" ht="15.6" x14ac:dyDescent="0.3">
      <c r="D16" s="226" t="s">
        <v>277</v>
      </c>
      <c r="H16" s="227" t="s">
        <v>293</v>
      </c>
      <c r="I16" s="77">
        <v>1217.7</v>
      </c>
      <c r="J16" s="77">
        <v>253.64</v>
      </c>
      <c r="K16" s="77">
        <v>19789.53</v>
      </c>
      <c r="L16" s="77">
        <v>9300</v>
      </c>
      <c r="M16" s="77">
        <v>71529.13</v>
      </c>
      <c r="N16" s="77">
        <v>11088.19</v>
      </c>
      <c r="O16" s="77">
        <v>5618.65</v>
      </c>
      <c r="P16" s="225">
        <v>0.32450000000000001</v>
      </c>
    </row>
    <row r="17" spans="2:16" s="58" customFormat="1" ht="15.6" x14ac:dyDescent="0.3">
      <c r="D17" s="226" t="s">
        <v>278</v>
      </c>
      <c r="H17" s="227" t="s">
        <v>294</v>
      </c>
      <c r="I17" s="77">
        <v>1861.1</v>
      </c>
      <c r="J17" s="77">
        <v>164.72</v>
      </c>
      <c r="K17" s="77">
        <v>3555.02</v>
      </c>
      <c r="L17" s="77">
        <v>21355</v>
      </c>
      <c r="M17" s="77">
        <v>48912.58</v>
      </c>
      <c r="N17" s="77">
        <v>10292.17</v>
      </c>
      <c r="O17" s="77">
        <v>6559.04</v>
      </c>
      <c r="P17" s="225">
        <v>0.30330000000000001</v>
      </c>
    </row>
    <row r="19" spans="2:16" x14ac:dyDescent="0.3">
      <c r="B19" s="218" t="s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D5BC-F2DB-4DB6-BE39-29CAFF297220}">
  <dimension ref="A1:G2477"/>
  <sheetViews>
    <sheetView showGridLines="0" zoomScaleNormal="100" workbookViewId="0">
      <selection activeCell="E9" sqref="E9"/>
    </sheetView>
  </sheetViews>
  <sheetFormatPr defaultColWidth="11.6640625" defaultRowHeight="14.4" x14ac:dyDescent="0.3"/>
  <cols>
    <col min="1" max="1" width="11.21875" style="115" customWidth="1"/>
    <col min="2" max="2" width="11" style="115" bestFit="1" customWidth="1"/>
    <col min="3" max="3" width="10.21875" style="115" bestFit="1" customWidth="1"/>
    <col min="4" max="4" width="16" style="115" customWidth="1"/>
    <col min="5" max="5" width="10.88671875" style="115" customWidth="1"/>
    <col min="6" max="6" width="19" style="115" customWidth="1"/>
    <col min="7" max="7" width="2.6640625" style="115" customWidth="1"/>
    <col min="8" max="16384" width="11.6640625" style="115"/>
  </cols>
  <sheetData>
    <row r="1" spans="1:7" ht="32.4" x14ac:dyDescent="0.6">
      <c r="A1" s="163" t="str">
        <f>Index!A1</f>
        <v>Alkem Laboratories Limited</v>
      </c>
      <c r="B1" s="164"/>
      <c r="C1" s="164"/>
      <c r="D1" s="164"/>
      <c r="E1" s="164"/>
      <c r="F1" s="164"/>
    </row>
    <row r="2" spans="1:7" ht="18" x14ac:dyDescent="0.3">
      <c r="A2" s="140" t="s">
        <v>320</v>
      </c>
      <c r="B2" s="140"/>
      <c r="C2" s="140"/>
      <c r="D2" s="140"/>
      <c r="E2" s="140"/>
      <c r="F2" s="140"/>
    </row>
    <row r="4" spans="1:7" x14ac:dyDescent="0.3">
      <c r="A4" s="165"/>
      <c r="B4" s="165" t="s">
        <v>324</v>
      </c>
      <c r="C4"/>
    </row>
    <row r="5" spans="1:7" x14ac:dyDescent="0.3">
      <c r="A5" s="165" t="s">
        <v>325</v>
      </c>
      <c r="B5" s="165" t="s">
        <v>326</v>
      </c>
      <c r="C5"/>
      <c r="D5" s="167" t="s">
        <v>324</v>
      </c>
      <c r="E5" s="115" t="s">
        <v>328</v>
      </c>
    </row>
    <row r="6" spans="1:7" x14ac:dyDescent="0.3">
      <c r="A6" s="157">
        <v>45323</v>
      </c>
      <c r="B6" s="158">
        <v>31898.06</v>
      </c>
      <c r="D6" s="167"/>
    </row>
    <row r="7" spans="1:7" x14ac:dyDescent="0.3">
      <c r="A7" s="157">
        <v>45322</v>
      </c>
      <c r="B7" s="158">
        <v>31939.59</v>
      </c>
      <c r="D7" s="167" t="s">
        <v>327</v>
      </c>
      <c r="E7" s="169">
        <f>YEARFRAC(A2477,A6)</f>
        <v>9.9944444444444436</v>
      </c>
      <c r="F7" s="160"/>
    </row>
    <row r="8" spans="1:7" x14ac:dyDescent="0.3">
      <c r="A8" s="157">
        <v>45321</v>
      </c>
      <c r="B8" s="158">
        <v>31640.240000000002</v>
      </c>
      <c r="D8" s="167"/>
      <c r="E8" s="160"/>
      <c r="F8" s="160"/>
    </row>
    <row r="9" spans="1:7" x14ac:dyDescent="0.3">
      <c r="A9" s="157">
        <v>45320</v>
      </c>
      <c r="B9" s="158">
        <v>31957.05</v>
      </c>
      <c r="C9"/>
      <c r="D9" s="167" t="s">
        <v>329</v>
      </c>
      <c r="E9" s="168">
        <f>_xlfn.RRI(E7,B2477,B6)</f>
        <v>0.15109567645678879</v>
      </c>
      <c r="F9" s="160"/>
    </row>
    <row r="10" spans="1:7" x14ac:dyDescent="0.3">
      <c r="A10" s="157">
        <v>45316</v>
      </c>
      <c r="B10" s="158">
        <v>31391.07</v>
      </c>
      <c r="C10"/>
      <c r="D10" s="160"/>
      <c r="F10" s="166"/>
    </row>
    <row r="11" spans="1:7" x14ac:dyDescent="0.3">
      <c r="A11" s="157">
        <v>45315</v>
      </c>
      <c r="B11" s="158">
        <v>31540.07</v>
      </c>
      <c r="C11"/>
      <c r="D11" s="160"/>
      <c r="G11" s="161"/>
    </row>
    <row r="12" spans="1:7" x14ac:dyDescent="0.3">
      <c r="A12" s="157">
        <v>45314</v>
      </c>
      <c r="B12" s="158">
        <v>31223.3</v>
      </c>
      <c r="C12"/>
      <c r="D12" s="160"/>
      <c r="G12" s="161"/>
    </row>
    <row r="13" spans="1:7" x14ac:dyDescent="0.3">
      <c r="A13" s="157">
        <v>45311</v>
      </c>
      <c r="B13" s="158">
        <v>31712.86</v>
      </c>
      <c r="C13"/>
      <c r="D13" s="160"/>
      <c r="G13" s="162"/>
    </row>
    <row r="14" spans="1:7" x14ac:dyDescent="0.3">
      <c r="A14" s="157">
        <v>45310</v>
      </c>
      <c r="B14" s="158">
        <v>31787.24</v>
      </c>
      <c r="C14"/>
      <c r="D14" s="160"/>
    </row>
    <row r="15" spans="1:7" x14ac:dyDescent="0.3">
      <c r="A15" s="157">
        <v>45309</v>
      </c>
      <c r="B15" s="158">
        <v>31538.400000000001</v>
      </c>
      <c r="C15"/>
      <c r="D15" s="160"/>
    </row>
    <row r="16" spans="1:7" x14ac:dyDescent="0.3">
      <c r="A16" s="157">
        <v>45308</v>
      </c>
      <c r="B16" s="158">
        <v>31699.64</v>
      </c>
      <c r="C16"/>
      <c r="D16" s="160"/>
    </row>
    <row r="17" spans="1:4" x14ac:dyDescent="0.3">
      <c r="A17" s="157">
        <v>45307</v>
      </c>
      <c r="B17" s="158">
        <v>32376.1</v>
      </c>
      <c r="C17"/>
      <c r="D17" s="160"/>
    </row>
    <row r="18" spans="1:4" x14ac:dyDescent="0.3">
      <c r="A18" s="157">
        <v>45306</v>
      </c>
      <c r="B18" s="158">
        <v>32471.8</v>
      </c>
      <c r="C18"/>
      <c r="D18" s="160"/>
    </row>
    <row r="19" spans="1:4" x14ac:dyDescent="0.3">
      <c r="A19" s="157">
        <v>45303</v>
      </c>
      <c r="B19" s="158">
        <v>32173.66</v>
      </c>
      <c r="C19"/>
      <c r="D19" s="160"/>
    </row>
    <row r="20" spans="1:4" x14ac:dyDescent="0.3">
      <c r="A20" s="157">
        <v>45302</v>
      </c>
      <c r="B20" s="158">
        <v>31810.18</v>
      </c>
      <c r="C20"/>
      <c r="D20" s="160"/>
    </row>
    <row r="21" spans="1:4" x14ac:dyDescent="0.3">
      <c r="A21" s="157">
        <v>45301</v>
      </c>
      <c r="B21" s="158">
        <v>31768.3</v>
      </c>
      <c r="C21"/>
      <c r="D21" s="160"/>
    </row>
    <row r="22" spans="1:4" x14ac:dyDescent="0.3">
      <c r="A22" s="157">
        <v>45300</v>
      </c>
      <c r="B22" s="158">
        <v>31659.81</v>
      </c>
      <c r="C22"/>
      <c r="D22" s="160"/>
    </row>
    <row r="23" spans="1:4" x14ac:dyDescent="0.3">
      <c r="A23" s="157">
        <v>45299</v>
      </c>
      <c r="B23" s="158">
        <v>31613.01</v>
      </c>
      <c r="C23"/>
      <c r="D23" s="160"/>
    </row>
    <row r="24" spans="1:4" x14ac:dyDescent="0.3">
      <c r="A24" s="157">
        <v>45296</v>
      </c>
      <c r="B24" s="158">
        <v>31903.69</v>
      </c>
      <c r="C24"/>
      <c r="D24" s="160"/>
    </row>
    <row r="25" spans="1:4" x14ac:dyDescent="0.3">
      <c r="A25" s="157">
        <v>45295</v>
      </c>
      <c r="B25" s="158">
        <v>31826.97</v>
      </c>
      <c r="C25"/>
      <c r="D25" s="160"/>
    </row>
    <row r="26" spans="1:4" x14ac:dyDescent="0.3">
      <c r="A26" s="157">
        <v>45294</v>
      </c>
      <c r="B26" s="158">
        <v>31619.360000000001</v>
      </c>
      <c r="C26"/>
      <c r="D26" s="160"/>
    </row>
    <row r="27" spans="1:4" x14ac:dyDescent="0.3">
      <c r="A27" s="157">
        <v>45293</v>
      </c>
      <c r="B27" s="158">
        <v>31837.56</v>
      </c>
      <c r="C27"/>
      <c r="D27" s="160"/>
    </row>
    <row r="28" spans="1:4" x14ac:dyDescent="0.3">
      <c r="A28" s="157">
        <v>45292</v>
      </c>
      <c r="B28" s="158">
        <v>31949.360000000001</v>
      </c>
      <c r="C28"/>
      <c r="D28" s="160"/>
    </row>
    <row r="29" spans="1:4" x14ac:dyDescent="0.3">
      <c r="A29" s="157">
        <v>45289</v>
      </c>
      <c r="B29" s="158">
        <v>31933.93</v>
      </c>
      <c r="C29"/>
      <c r="D29" s="160"/>
    </row>
    <row r="30" spans="1:4" x14ac:dyDescent="0.3">
      <c r="A30" s="157">
        <v>45288</v>
      </c>
      <c r="B30" s="158">
        <v>32003.47</v>
      </c>
      <c r="C30"/>
      <c r="D30" s="160"/>
    </row>
    <row r="31" spans="1:4" x14ac:dyDescent="0.3">
      <c r="A31" s="157">
        <v>45287</v>
      </c>
      <c r="B31" s="158">
        <v>31821.31</v>
      </c>
      <c r="C31"/>
      <c r="D31" s="160"/>
    </row>
    <row r="32" spans="1:4" x14ac:dyDescent="0.3">
      <c r="A32" s="157">
        <v>45286</v>
      </c>
      <c r="B32" s="158">
        <v>31507.69</v>
      </c>
      <c r="C32"/>
      <c r="D32" s="160"/>
    </row>
    <row r="33" spans="1:4" x14ac:dyDescent="0.3">
      <c r="A33" s="157">
        <v>45282</v>
      </c>
      <c r="B33" s="158">
        <v>31372.6</v>
      </c>
      <c r="C33"/>
      <c r="D33" s="160"/>
    </row>
    <row r="34" spans="1:4" x14ac:dyDescent="0.3">
      <c r="A34" s="157">
        <v>45281</v>
      </c>
      <c r="B34" s="158">
        <v>31233.93</v>
      </c>
      <c r="C34"/>
      <c r="D34" s="160"/>
    </row>
    <row r="35" spans="1:4" x14ac:dyDescent="0.3">
      <c r="A35" s="157">
        <v>45280</v>
      </c>
      <c r="B35" s="158">
        <v>31079.759999999998</v>
      </c>
      <c r="C35"/>
      <c r="D35" s="160"/>
    </row>
    <row r="36" spans="1:4" x14ac:dyDescent="0.3">
      <c r="A36" s="157">
        <v>45279</v>
      </c>
      <c r="B36" s="158">
        <v>31525</v>
      </c>
      <c r="C36"/>
      <c r="D36" s="160"/>
    </row>
    <row r="37" spans="1:4" x14ac:dyDescent="0.3">
      <c r="A37" s="157">
        <v>45278</v>
      </c>
      <c r="B37" s="158">
        <v>31474.35</v>
      </c>
      <c r="C37"/>
      <c r="D37" s="160"/>
    </row>
    <row r="38" spans="1:4" x14ac:dyDescent="0.3">
      <c r="A38" s="157">
        <v>45275</v>
      </c>
      <c r="B38" s="158">
        <v>31530.19</v>
      </c>
      <c r="C38"/>
      <c r="D38" s="160"/>
    </row>
    <row r="39" spans="1:4" x14ac:dyDescent="0.3">
      <c r="A39" s="157">
        <v>45274</v>
      </c>
      <c r="B39" s="158">
        <v>31127.599999999999</v>
      </c>
      <c r="C39"/>
      <c r="D39" s="160"/>
    </row>
    <row r="40" spans="1:4" x14ac:dyDescent="0.3">
      <c r="A40" s="157">
        <v>45273</v>
      </c>
      <c r="B40" s="158">
        <v>30750.95</v>
      </c>
      <c r="C40"/>
      <c r="D40" s="160"/>
    </row>
    <row r="41" spans="1:4" x14ac:dyDescent="0.3">
      <c r="A41" s="157">
        <v>45272</v>
      </c>
      <c r="B41" s="158">
        <v>30721.59</v>
      </c>
      <c r="C41"/>
      <c r="D41" s="160"/>
    </row>
    <row r="42" spans="1:4" x14ac:dyDescent="0.3">
      <c r="A42" s="157">
        <v>45271</v>
      </c>
      <c r="B42" s="158">
        <v>30854.9</v>
      </c>
      <c r="C42"/>
      <c r="D42" s="160"/>
    </row>
    <row r="43" spans="1:4" x14ac:dyDescent="0.3">
      <c r="A43" s="157">
        <v>45268</v>
      </c>
      <c r="B43" s="158">
        <v>30814.15</v>
      </c>
      <c r="C43"/>
      <c r="D43" s="160"/>
    </row>
    <row r="44" spans="1:4" x14ac:dyDescent="0.3">
      <c r="A44" s="157">
        <v>45267</v>
      </c>
      <c r="B44" s="158">
        <v>30713.86</v>
      </c>
      <c r="C44"/>
      <c r="D44" s="160"/>
    </row>
    <row r="45" spans="1:4" x14ac:dyDescent="0.3">
      <c r="A45" s="157">
        <v>45266</v>
      </c>
      <c r="B45" s="158">
        <v>30767.599999999999</v>
      </c>
      <c r="C45"/>
      <c r="D45" s="160"/>
    </row>
    <row r="46" spans="1:4" x14ac:dyDescent="0.3">
      <c r="A46" s="157">
        <v>45265</v>
      </c>
      <c r="B46" s="158">
        <v>30646.19</v>
      </c>
      <c r="C46"/>
      <c r="D46" s="160"/>
    </row>
    <row r="47" spans="1:4" x14ac:dyDescent="0.3">
      <c r="A47" s="157">
        <v>45264</v>
      </c>
      <c r="B47" s="158">
        <v>30398.91</v>
      </c>
      <c r="C47"/>
      <c r="D47" s="160"/>
    </row>
    <row r="48" spans="1:4" x14ac:dyDescent="0.3">
      <c r="A48" s="157">
        <v>45261</v>
      </c>
      <c r="B48" s="158">
        <v>29783.34</v>
      </c>
      <c r="C48"/>
      <c r="D48" s="160"/>
    </row>
    <row r="49" spans="1:4" x14ac:dyDescent="0.3">
      <c r="A49" s="157">
        <v>45260</v>
      </c>
      <c r="B49" s="158">
        <v>29585.360000000001</v>
      </c>
      <c r="C49"/>
      <c r="D49" s="160"/>
    </row>
    <row r="50" spans="1:4" x14ac:dyDescent="0.3">
      <c r="A50" s="157">
        <v>45259</v>
      </c>
      <c r="B50" s="158">
        <v>29531.63</v>
      </c>
      <c r="C50"/>
      <c r="D50" s="160"/>
    </row>
    <row r="51" spans="1:4" x14ac:dyDescent="0.3">
      <c r="A51" s="157">
        <v>45258</v>
      </c>
      <c r="B51" s="158">
        <v>29227.61</v>
      </c>
      <c r="C51"/>
      <c r="D51" s="160"/>
    </row>
    <row r="52" spans="1:4" x14ac:dyDescent="0.3">
      <c r="A52" s="157">
        <v>45254</v>
      </c>
      <c r="B52" s="158">
        <v>29087.95</v>
      </c>
      <c r="C52"/>
      <c r="D52" s="160"/>
    </row>
    <row r="53" spans="1:4" x14ac:dyDescent="0.3">
      <c r="A53" s="157">
        <v>45253</v>
      </c>
      <c r="B53" s="158">
        <v>29098.74</v>
      </c>
      <c r="C53"/>
      <c r="D53" s="160"/>
    </row>
    <row r="54" spans="1:4" x14ac:dyDescent="0.3">
      <c r="A54" s="157">
        <v>45252</v>
      </c>
      <c r="B54" s="158">
        <v>29113.18</v>
      </c>
      <c r="C54"/>
      <c r="D54" s="160"/>
    </row>
    <row r="55" spans="1:4" x14ac:dyDescent="0.3">
      <c r="A55" s="157">
        <v>45251</v>
      </c>
      <c r="B55" s="158">
        <v>29071.360000000001</v>
      </c>
      <c r="C55"/>
      <c r="D55" s="160"/>
    </row>
    <row r="56" spans="1:4" x14ac:dyDescent="0.3">
      <c r="A56" s="157">
        <v>45250</v>
      </c>
      <c r="B56" s="158">
        <v>28939.98</v>
      </c>
      <c r="C56"/>
      <c r="D56" s="160"/>
    </row>
    <row r="57" spans="1:4" x14ac:dyDescent="0.3">
      <c r="A57" s="157">
        <v>45247</v>
      </c>
      <c r="B57" s="158">
        <v>28995.52</v>
      </c>
      <c r="C57"/>
      <c r="D57" s="160"/>
    </row>
    <row r="58" spans="1:4" x14ac:dyDescent="0.3">
      <c r="A58" s="157">
        <v>45246</v>
      </c>
      <c r="B58" s="158">
        <v>29044.66</v>
      </c>
      <c r="C58"/>
      <c r="D58" s="160"/>
    </row>
    <row r="59" spans="1:4" x14ac:dyDescent="0.3">
      <c r="A59" s="157">
        <v>45245</v>
      </c>
      <c r="B59" s="158">
        <v>28906.7</v>
      </c>
      <c r="C59"/>
      <c r="D59" s="160"/>
    </row>
    <row r="60" spans="1:4" x14ac:dyDescent="0.3">
      <c r="A60" s="157">
        <v>45243</v>
      </c>
      <c r="B60" s="158">
        <v>28565.95</v>
      </c>
      <c r="C60"/>
      <c r="D60" s="160"/>
    </row>
    <row r="61" spans="1:4" x14ac:dyDescent="0.3">
      <c r="A61" s="157">
        <v>45242</v>
      </c>
      <c r="B61" s="158">
        <v>28686.47</v>
      </c>
      <c r="C61"/>
      <c r="D61" s="160"/>
    </row>
    <row r="62" spans="1:4" x14ac:dyDescent="0.3">
      <c r="A62" s="157">
        <v>45240</v>
      </c>
      <c r="B62" s="158">
        <v>28539.24</v>
      </c>
      <c r="C62"/>
      <c r="D62" s="160"/>
    </row>
    <row r="63" spans="1:4" x14ac:dyDescent="0.3">
      <c r="A63" s="157">
        <v>45239</v>
      </c>
      <c r="B63" s="158">
        <v>28495.08</v>
      </c>
      <c r="C63"/>
      <c r="D63" s="160"/>
    </row>
    <row r="64" spans="1:4" x14ac:dyDescent="0.3">
      <c r="A64" s="157">
        <v>45238</v>
      </c>
      <c r="B64" s="158">
        <v>28565.86</v>
      </c>
      <c r="C64"/>
      <c r="D64" s="160"/>
    </row>
    <row r="65" spans="1:4" x14ac:dyDescent="0.3">
      <c r="A65" s="157">
        <v>45237</v>
      </c>
      <c r="B65" s="158">
        <v>28511.81</v>
      </c>
      <c r="C65"/>
      <c r="D65" s="160"/>
    </row>
    <row r="66" spans="1:4" x14ac:dyDescent="0.3">
      <c r="A66" s="157">
        <v>45236</v>
      </c>
      <c r="B66" s="158">
        <v>28519.25</v>
      </c>
      <c r="C66"/>
      <c r="D66" s="160"/>
    </row>
    <row r="67" spans="1:4" x14ac:dyDescent="0.3">
      <c r="A67" s="157">
        <v>45233</v>
      </c>
      <c r="B67" s="158">
        <v>28253.09</v>
      </c>
      <c r="C67"/>
      <c r="D67" s="160"/>
    </row>
    <row r="68" spans="1:4" x14ac:dyDescent="0.3">
      <c r="A68" s="157">
        <v>45232</v>
      </c>
      <c r="B68" s="158">
        <v>28105.75</v>
      </c>
      <c r="C68"/>
      <c r="D68" s="160"/>
    </row>
    <row r="69" spans="1:4" x14ac:dyDescent="0.3">
      <c r="A69" s="157">
        <v>45231</v>
      </c>
      <c r="B69" s="158">
        <v>27886.240000000002</v>
      </c>
      <c r="C69"/>
      <c r="D69" s="160"/>
    </row>
    <row r="70" spans="1:4" x14ac:dyDescent="0.3">
      <c r="A70" s="157">
        <v>45230</v>
      </c>
      <c r="B70" s="158">
        <v>28017.360000000001</v>
      </c>
      <c r="C70"/>
      <c r="D70" s="160"/>
    </row>
    <row r="71" spans="1:4" x14ac:dyDescent="0.3">
      <c r="A71" s="157">
        <v>45229</v>
      </c>
      <c r="B71" s="158">
        <v>28107.42</v>
      </c>
      <c r="C71"/>
      <c r="D71" s="160"/>
    </row>
    <row r="72" spans="1:4" x14ac:dyDescent="0.3">
      <c r="A72" s="157">
        <v>45226</v>
      </c>
      <c r="B72" s="158">
        <v>27969.919999999998</v>
      </c>
      <c r="C72"/>
      <c r="D72" s="160"/>
    </row>
    <row r="73" spans="1:4" x14ac:dyDescent="0.3">
      <c r="A73" s="157">
        <v>45225</v>
      </c>
      <c r="B73" s="158">
        <v>27690.29</v>
      </c>
      <c r="C73"/>
      <c r="D73" s="160"/>
    </row>
    <row r="74" spans="1:4" x14ac:dyDescent="0.3">
      <c r="A74" s="157">
        <v>45224</v>
      </c>
      <c r="B74" s="158">
        <v>28079.26</v>
      </c>
      <c r="C74"/>
      <c r="D74" s="160"/>
    </row>
    <row r="75" spans="1:4" x14ac:dyDescent="0.3">
      <c r="A75" s="157">
        <v>45222</v>
      </c>
      <c r="B75" s="158">
        <v>28291.96</v>
      </c>
      <c r="C75"/>
      <c r="D75" s="160"/>
    </row>
    <row r="76" spans="1:4" x14ac:dyDescent="0.3">
      <c r="A76" s="157">
        <v>45219</v>
      </c>
      <c r="B76" s="158">
        <v>28674.78</v>
      </c>
      <c r="C76"/>
      <c r="D76" s="160"/>
    </row>
    <row r="77" spans="1:4" x14ac:dyDescent="0.3">
      <c r="A77" s="157">
        <v>45218</v>
      </c>
      <c r="B77" s="158">
        <v>28790.880000000001</v>
      </c>
      <c r="C77"/>
      <c r="D77" s="160"/>
    </row>
    <row r="78" spans="1:4" x14ac:dyDescent="0.3">
      <c r="A78" s="157">
        <v>45217</v>
      </c>
      <c r="B78" s="158">
        <v>28855.87</v>
      </c>
      <c r="C78"/>
      <c r="D78" s="160"/>
    </row>
    <row r="79" spans="1:4" x14ac:dyDescent="0.3">
      <c r="A79" s="157">
        <v>45216</v>
      </c>
      <c r="B79" s="158">
        <v>29061.8</v>
      </c>
      <c r="C79"/>
      <c r="D79" s="160"/>
    </row>
    <row r="80" spans="1:4" x14ac:dyDescent="0.3">
      <c r="A80" s="157">
        <v>45215</v>
      </c>
      <c r="B80" s="158">
        <v>28944.87</v>
      </c>
      <c r="C80"/>
      <c r="D80" s="160"/>
    </row>
    <row r="81" spans="1:4" x14ac:dyDescent="0.3">
      <c r="A81" s="157">
        <v>45212</v>
      </c>
      <c r="B81" s="158">
        <v>28973.14</v>
      </c>
      <c r="C81"/>
      <c r="D81" s="160"/>
    </row>
    <row r="82" spans="1:4" x14ac:dyDescent="0.3">
      <c r="A82" s="157">
        <v>45211</v>
      </c>
      <c r="B82" s="158">
        <v>29036.17</v>
      </c>
      <c r="C82"/>
      <c r="D82" s="160"/>
    </row>
    <row r="83" spans="1:4" x14ac:dyDescent="0.3">
      <c r="A83" s="157">
        <v>45210</v>
      </c>
      <c r="B83" s="158">
        <v>29061.61</v>
      </c>
      <c r="C83"/>
      <c r="D83" s="160"/>
    </row>
    <row r="84" spans="1:4" x14ac:dyDescent="0.3">
      <c r="A84" s="157">
        <v>45209</v>
      </c>
      <c r="B84" s="158">
        <v>28883.35</v>
      </c>
      <c r="C84"/>
      <c r="D84" s="160"/>
    </row>
    <row r="85" spans="1:4" x14ac:dyDescent="0.3">
      <c r="A85" s="157">
        <v>45208</v>
      </c>
      <c r="B85" s="158">
        <v>28622.98</v>
      </c>
      <c r="C85"/>
      <c r="D85" s="160"/>
    </row>
    <row r="86" spans="1:4" x14ac:dyDescent="0.3">
      <c r="A86" s="157">
        <v>45205</v>
      </c>
      <c r="B86" s="158">
        <v>28830.080000000002</v>
      </c>
      <c r="C86"/>
      <c r="D86" s="160"/>
    </row>
    <row r="87" spans="1:4" x14ac:dyDescent="0.3">
      <c r="A87" s="157">
        <v>45204</v>
      </c>
      <c r="B87" s="158">
        <v>28671.97</v>
      </c>
      <c r="C87"/>
      <c r="D87" s="160"/>
    </row>
    <row r="88" spans="1:4" x14ac:dyDescent="0.3">
      <c r="A88" s="157">
        <v>45203</v>
      </c>
      <c r="B88" s="158">
        <v>28511.13</v>
      </c>
      <c r="C88"/>
      <c r="D88" s="160"/>
    </row>
    <row r="89" spans="1:4" x14ac:dyDescent="0.3">
      <c r="A89" s="157">
        <v>45202</v>
      </c>
      <c r="B89" s="158">
        <v>28647.040000000001</v>
      </c>
      <c r="C89"/>
      <c r="D89" s="160"/>
    </row>
    <row r="90" spans="1:4" x14ac:dyDescent="0.3">
      <c r="A90" s="157">
        <v>45198</v>
      </c>
      <c r="B90" s="158">
        <v>28807.77</v>
      </c>
      <c r="C90"/>
      <c r="D90" s="160"/>
    </row>
    <row r="91" spans="1:4" x14ac:dyDescent="0.3">
      <c r="A91" s="157">
        <v>45197</v>
      </c>
      <c r="B91" s="158">
        <v>28639.439999999999</v>
      </c>
      <c r="C91"/>
      <c r="D91" s="160"/>
    </row>
    <row r="92" spans="1:4" x14ac:dyDescent="0.3">
      <c r="A92" s="157">
        <v>45196</v>
      </c>
      <c r="B92" s="158">
        <v>28922.43</v>
      </c>
      <c r="C92"/>
      <c r="D92" s="160"/>
    </row>
    <row r="93" spans="1:4" x14ac:dyDescent="0.3">
      <c r="A93" s="157">
        <v>45195</v>
      </c>
      <c r="B93" s="158">
        <v>28846.47</v>
      </c>
      <c r="C93"/>
      <c r="D93" s="160"/>
    </row>
    <row r="94" spans="1:4" x14ac:dyDescent="0.3">
      <c r="A94" s="157">
        <v>45194</v>
      </c>
      <c r="B94" s="158">
        <v>28860.9</v>
      </c>
      <c r="C94"/>
      <c r="D94" s="160"/>
    </row>
    <row r="95" spans="1:4" x14ac:dyDescent="0.3">
      <c r="A95" s="157">
        <v>45191</v>
      </c>
      <c r="B95" s="158">
        <v>28860.46</v>
      </c>
      <c r="C95"/>
      <c r="D95" s="160"/>
    </row>
    <row r="96" spans="1:4" x14ac:dyDescent="0.3">
      <c r="A96" s="157">
        <v>45190</v>
      </c>
      <c r="B96" s="158">
        <v>28960.36</v>
      </c>
      <c r="C96"/>
      <c r="D96" s="160"/>
    </row>
    <row r="97" spans="1:4" x14ac:dyDescent="0.3">
      <c r="A97" s="157">
        <v>45189</v>
      </c>
      <c r="B97" s="158">
        <v>29193.69</v>
      </c>
      <c r="C97"/>
      <c r="D97" s="160"/>
    </row>
    <row r="98" spans="1:4" x14ac:dyDescent="0.3">
      <c r="A98" s="157">
        <v>45187</v>
      </c>
      <c r="B98" s="158">
        <v>29533.91</v>
      </c>
      <c r="C98"/>
      <c r="D98" s="160"/>
    </row>
    <row r="99" spans="1:4" x14ac:dyDescent="0.3">
      <c r="A99" s="157">
        <v>45184</v>
      </c>
      <c r="B99" s="158">
        <v>29620.53</v>
      </c>
      <c r="C99"/>
      <c r="D99" s="160"/>
    </row>
    <row r="100" spans="1:4" x14ac:dyDescent="0.3">
      <c r="A100" s="157">
        <v>45183</v>
      </c>
      <c r="B100" s="158">
        <v>29489.61</v>
      </c>
      <c r="C100"/>
      <c r="D100" s="160"/>
    </row>
    <row r="101" spans="1:4" x14ac:dyDescent="0.3">
      <c r="A101" s="157">
        <v>45182</v>
      </c>
      <c r="B101" s="158">
        <v>29441.040000000001</v>
      </c>
      <c r="C101"/>
      <c r="D101" s="160"/>
    </row>
    <row r="102" spans="1:4" x14ac:dyDescent="0.3">
      <c r="A102" s="157">
        <v>45181</v>
      </c>
      <c r="B102" s="158">
        <v>29328.37</v>
      </c>
      <c r="C102"/>
      <c r="D102" s="160"/>
    </row>
    <row r="103" spans="1:4" x14ac:dyDescent="0.3">
      <c r="A103" s="157">
        <v>45180</v>
      </c>
      <c r="B103" s="158">
        <v>29333</v>
      </c>
      <c r="C103"/>
      <c r="D103" s="160"/>
    </row>
    <row r="104" spans="1:4" x14ac:dyDescent="0.3">
      <c r="A104" s="157">
        <v>45177</v>
      </c>
      <c r="B104" s="158">
        <v>29074.22</v>
      </c>
      <c r="C104"/>
      <c r="D104" s="160"/>
    </row>
    <row r="105" spans="1:4" x14ac:dyDescent="0.3">
      <c r="A105" s="157">
        <v>45176</v>
      </c>
      <c r="B105" s="158">
        <v>28937.96</v>
      </c>
      <c r="C105"/>
      <c r="D105" s="160"/>
    </row>
    <row r="106" spans="1:4" x14ac:dyDescent="0.3">
      <c r="A106" s="157">
        <v>45175</v>
      </c>
      <c r="B106" s="158">
        <v>28767.78</v>
      </c>
      <c r="C106"/>
      <c r="D106" s="160"/>
    </row>
    <row r="107" spans="1:4" x14ac:dyDescent="0.3">
      <c r="A107" s="157">
        <v>45174</v>
      </c>
      <c r="B107" s="158">
        <v>28714.78</v>
      </c>
      <c r="C107"/>
      <c r="D107" s="160"/>
    </row>
    <row r="108" spans="1:4" x14ac:dyDescent="0.3">
      <c r="A108" s="157">
        <v>45173</v>
      </c>
      <c r="B108" s="158">
        <v>28647.16</v>
      </c>
      <c r="C108"/>
      <c r="D108" s="160"/>
    </row>
    <row r="109" spans="1:4" x14ac:dyDescent="0.3">
      <c r="A109" s="157">
        <v>45170</v>
      </c>
      <c r="B109" s="158">
        <v>28509.94</v>
      </c>
      <c r="C109"/>
      <c r="D109" s="160"/>
    </row>
    <row r="110" spans="1:4" x14ac:dyDescent="0.3">
      <c r="A110" s="157">
        <v>45169</v>
      </c>
      <c r="B110" s="158">
        <v>28243.74</v>
      </c>
      <c r="C110"/>
      <c r="D110" s="160"/>
    </row>
    <row r="111" spans="1:4" x14ac:dyDescent="0.3">
      <c r="A111" s="157">
        <v>45168</v>
      </c>
      <c r="B111" s="158">
        <v>28381.13</v>
      </c>
      <c r="C111"/>
      <c r="D111" s="160"/>
    </row>
    <row r="112" spans="1:4" x14ac:dyDescent="0.3">
      <c r="A112" s="157">
        <v>45167</v>
      </c>
      <c r="B112" s="158">
        <v>28374.03</v>
      </c>
      <c r="C112"/>
      <c r="D112" s="160"/>
    </row>
    <row r="113" spans="1:4" x14ac:dyDescent="0.3">
      <c r="A113" s="157">
        <v>45166</v>
      </c>
      <c r="B113" s="158">
        <v>28320.400000000001</v>
      </c>
      <c r="C113"/>
      <c r="D113" s="160"/>
    </row>
    <row r="114" spans="1:4" x14ac:dyDescent="0.3">
      <c r="A114" s="157">
        <v>45163</v>
      </c>
      <c r="B114" s="158">
        <v>28261.32</v>
      </c>
      <c r="C114"/>
      <c r="D114" s="160"/>
    </row>
    <row r="115" spans="1:4" x14ac:dyDescent="0.3">
      <c r="A115" s="157">
        <v>45162</v>
      </c>
      <c r="B115" s="158">
        <v>28438.68</v>
      </c>
      <c r="C115"/>
      <c r="D115" s="160"/>
    </row>
    <row r="116" spans="1:4" x14ac:dyDescent="0.3">
      <c r="A116" s="157">
        <v>45161</v>
      </c>
      <c r="B116" s="158">
        <v>28522.76</v>
      </c>
      <c r="C116"/>
      <c r="D116" s="160"/>
    </row>
    <row r="117" spans="1:4" x14ac:dyDescent="0.3">
      <c r="A117" s="157">
        <v>45160</v>
      </c>
      <c r="B117" s="158">
        <v>28453.01</v>
      </c>
      <c r="C117"/>
      <c r="D117" s="160"/>
    </row>
    <row r="118" spans="1:4" x14ac:dyDescent="0.3">
      <c r="A118" s="157">
        <v>45159</v>
      </c>
      <c r="B118" s="158">
        <v>28448.83</v>
      </c>
      <c r="C118"/>
      <c r="D118" s="160"/>
    </row>
    <row r="119" spans="1:4" x14ac:dyDescent="0.3">
      <c r="A119" s="157">
        <v>45156</v>
      </c>
      <c r="B119" s="158">
        <v>28316.31</v>
      </c>
      <c r="C119"/>
      <c r="D119" s="160"/>
    </row>
    <row r="120" spans="1:4" x14ac:dyDescent="0.3">
      <c r="A120" s="157">
        <v>45155</v>
      </c>
      <c r="B120" s="158">
        <v>28393.16</v>
      </c>
      <c r="C120"/>
      <c r="D120" s="160"/>
    </row>
    <row r="121" spans="1:4" x14ac:dyDescent="0.3">
      <c r="A121" s="157">
        <v>45154</v>
      </c>
      <c r="B121" s="158">
        <v>28539.38</v>
      </c>
      <c r="C121"/>
      <c r="D121" s="160"/>
    </row>
    <row r="122" spans="1:4" x14ac:dyDescent="0.3">
      <c r="A122" s="157">
        <v>45152</v>
      </c>
      <c r="B122" s="158">
        <v>28494.78</v>
      </c>
      <c r="C122"/>
      <c r="D122" s="160"/>
    </row>
    <row r="123" spans="1:4" x14ac:dyDescent="0.3">
      <c r="A123" s="157">
        <v>45149</v>
      </c>
      <c r="B123" s="158">
        <v>28482.45</v>
      </c>
      <c r="C123"/>
      <c r="D123" s="160"/>
    </row>
    <row r="124" spans="1:4" x14ac:dyDescent="0.3">
      <c r="A124" s="157">
        <v>45148</v>
      </c>
      <c r="B124" s="158">
        <v>28638.92</v>
      </c>
      <c r="C124"/>
      <c r="D124" s="160"/>
    </row>
    <row r="125" spans="1:4" x14ac:dyDescent="0.3">
      <c r="A125" s="157">
        <v>45147</v>
      </c>
      <c r="B125" s="158">
        <v>28769.97</v>
      </c>
      <c r="C125"/>
      <c r="D125" s="160"/>
    </row>
    <row r="126" spans="1:4" x14ac:dyDescent="0.3">
      <c r="A126" s="157">
        <v>45146</v>
      </c>
      <c r="B126" s="158">
        <v>28661.08</v>
      </c>
      <c r="C126"/>
      <c r="D126" s="160"/>
    </row>
    <row r="127" spans="1:4" x14ac:dyDescent="0.3">
      <c r="A127" s="157">
        <v>45145</v>
      </c>
      <c r="B127" s="158">
        <v>28699.8</v>
      </c>
      <c r="C127"/>
      <c r="D127" s="160"/>
    </row>
    <row r="128" spans="1:4" x14ac:dyDescent="0.3">
      <c r="A128" s="157">
        <v>45142</v>
      </c>
      <c r="B128" s="158">
        <v>28582.25</v>
      </c>
      <c r="C128"/>
      <c r="D128" s="160"/>
    </row>
    <row r="129" spans="1:4" x14ac:dyDescent="0.3">
      <c r="A129" s="157">
        <v>45141</v>
      </c>
      <c r="B129" s="158">
        <v>28383.279999999999</v>
      </c>
      <c r="C129"/>
      <c r="D129" s="160"/>
    </row>
    <row r="130" spans="1:4" x14ac:dyDescent="0.3">
      <c r="A130" s="157">
        <v>45140</v>
      </c>
      <c r="B130" s="158">
        <v>28589.81</v>
      </c>
      <c r="C130"/>
      <c r="D130" s="160"/>
    </row>
    <row r="131" spans="1:4" x14ac:dyDescent="0.3">
      <c r="A131" s="157">
        <v>45139</v>
      </c>
      <c r="B131" s="158">
        <v>28880.78</v>
      </c>
      <c r="C131"/>
      <c r="D131" s="160"/>
    </row>
    <row r="132" spans="1:4" x14ac:dyDescent="0.3">
      <c r="A132" s="157">
        <v>45138</v>
      </c>
      <c r="B132" s="158">
        <v>28910.43</v>
      </c>
      <c r="C132"/>
      <c r="D132" s="160"/>
    </row>
    <row r="133" spans="1:4" x14ac:dyDescent="0.3">
      <c r="A133" s="157">
        <v>45135</v>
      </c>
      <c r="B133" s="158">
        <v>28752.69</v>
      </c>
      <c r="C133"/>
      <c r="D133" s="160"/>
    </row>
    <row r="134" spans="1:4" x14ac:dyDescent="0.3">
      <c r="A134" s="157">
        <v>45134</v>
      </c>
      <c r="B134" s="158">
        <v>28769.02</v>
      </c>
      <c r="C134"/>
      <c r="D134" s="160"/>
    </row>
    <row r="135" spans="1:4" x14ac:dyDescent="0.3">
      <c r="A135" s="157">
        <v>45133</v>
      </c>
      <c r="B135" s="158">
        <v>28939.3</v>
      </c>
      <c r="C135"/>
      <c r="D135" s="160"/>
    </row>
    <row r="136" spans="1:4" x14ac:dyDescent="0.3">
      <c r="A136" s="157">
        <v>45132</v>
      </c>
      <c r="B136" s="158">
        <v>28796.35</v>
      </c>
      <c r="C136"/>
      <c r="D136" s="160"/>
    </row>
    <row r="137" spans="1:4" x14ac:dyDescent="0.3">
      <c r="A137" s="157">
        <v>45131</v>
      </c>
      <c r="B137" s="158">
        <v>28784.26</v>
      </c>
      <c r="C137"/>
      <c r="D137" s="160"/>
    </row>
    <row r="138" spans="1:4" x14ac:dyDescent="0.3">
      <c r="A138" s="157">
        <v>45128</v>
      </c>
      <c r="B138" s="158">
        <v>28890.53</v>
      </c>
      <c r="C138"/>
      <c r="D138" s="160"/>
    </row>
    <row r="139" spans="1:4" x14ac:dyDescent="0.3">
      <c r="A139" s="157">
        <v>45127</v>
      </c>
      <c r="B139" s="158">
        <v>29231.71</v>
      </c>
      <c r="C139"/>
      <c r="D139" s="160"/>
    </row>
    <row r="140" spans="1:4" x14ac:dyDescent="0.3">
      <c r="A140" s="157">
        <v>45126</v>
      </c>
      <c r="B140" s="158">
        <v>29011.55</v>
      </c>
      <c r="C140"/>
      <c r="D140" s="160"/>
    </row>
    <row r="141" spans="1:4" x14ac:dyDescent="0.3">
      <c r="A141" s="157">
        <v>45125</v>
      </c>
      <c r="B141" s="158">
        <v>28888.85</v>
      </c>
      <c r="C141"/>
      <c r="D141" s="160"/>
    </row>
    <row r="142" spans="1:4" x14ac:dyDescent="0.3">
      <c r="A142" s="157">
        <v>45124</v>
      </c>
      <c r="B142" s="158">
        <v>28833.54</v>
      </c>
      <c r="C142"/>
      <c r="D142" s="160"/>
    </row>
    <row r="143" spans="1:4" x14ac:dyDescent="0.3">
      <c r="A143" s="157">
        <v>45121</v>
      </c>
      <c r="B143" s="158">
        <v>28618.6</v>
      </c>
      <c r="C143"/>
      <c r="D143" s="160"/>
    </row>
    <row r="144" spans="1:4" x14ac:dyDescent="0.3">
      <c r="A144" s="157">
        <v>45120</v>
      </c>
      <c r="B144" s="158">
        <v>28393.32</v>
      </c>
      <c r="C144"/>
      <c r="D144" s="160"/>
    </row>
    <row r="145" spans="1:4" x14ac:dyDescent="0.3">
      <c r="A145" s="157">
        <v>45119</v>
      </c>
      <c r="B145" s="158">
        <v>28348.880000000001</v>
      </c>
      <c r="C145"/>
      <c r="D145" s="160"/>
    </row>
    <row r="146" spans="1:4" x14ac:dyDescent="0.3">
      <c r="A146" s="157">
        <v>45118</v>
      </c>
      <c r="B146" s="158">
        <v>28429.42</v>
      </c>
      <c r="C146"/>
      <c r="D146" s="160"/>
    </row>
    <row r="147" spans="1:4" x14ac:dyDescent="0.3">
      <c r="A147" s="157">
        <v>45117</v>
      </c>
      <c r="B147" s="158">
        <v>28304.66</v>
      </c>
      <c r="C147"/>
      <c r="D147" s="160"/>
    </row>
    <row r="148" spans="1:4" x14ac:dyDescent="0.3">
      <c r="A148" s="157">
        <v>45114</v>
      </c>
      <c r="B148" s="158">
        <v>28269.43</v>
      </c>
      <c r="C148"/>
      <c r="D148" s="160"/>
    </row>
    <row r="149" spans="1:4" x14ac:dyDescent="0.3">
      <c r="A149" s="157">
        <v>45113</v>
      </c>
      <c r="B149" s="158">
        <v>28510.39</v>
      </c>
      <c r="C149"/>
      <c r="D149" s="160"/>
    </row>
    <row r="150" spans="1:4" x14ac:dyDescent="0.3">
      <c r="A150" s="157">
        <v>45112</v>
      </c>
      <c r="B150" s="158">
        <v>28365.96</v>
      </c>
      <c r="C150"/>
      <c r="D150" s="160"/>
    </row>
    <row r="151" spans="1:4" x14ac:dyDescent="0.3">
      <c r="A151" s="157">
        <v>45111</v>
      </c>
      <c r="B151" s="158">
        <v>28352.01</v>
      </c>
      <c r="C151"/>
      <c r="D151" s="160"/>
    </row>
    <row r="152" spans="1:4" x14ac:dyDescent="0.3">
      <c r="A152" s="157">
        <v>45110</v>
      </c>
      <c r="B152" s="158">
        <v>28254.9</v>
      </c>
      <c r="C152"/>
      <c r="D152" s="160"/>
    </row>
    <row r="153" spans="1:4" x14ac:dyDescent="0.3">
      <c r="A153" s="157">
        <v>45107</v>
      </c>
      <c r="B153" s="158">
        <v>28059.65</v>
      </c>
      <c r="C153"/>
      <c r="D153" s="160"/>
    </row>
    <row r="154" spans="1:4" x14ac:dyDescent="0.3">
      <c r="A154" s="157">
        <v>45105</v>
      </c>
      <c r="B154" s="158">
        <v>27739.64</v>
      </c>
      <c r="C154"/>
      <c r="D154" s="160"/>
    </row>
    <row r="155" spans="1:4" x14ac:dyDescent="0.3">
      <c r="A155" s="157">
        <v>45104</v>
      </c>
      <c r="B155" s="158">
        <v>27513.45</v>
      </c>
      <c r="C155"/>
      <c r="D155" s="160"/>
    </row>
    <row r="156" spans="1:4" x14ac:dyDescent="0.3">
      <c r="A156" s="157">
        <v>45103</v>
      </c>
      <c r="B156" s="158">
        <v>27328.91</v>
      </c>
      <c r="C156"/>
      <c r="D156" s="160"/>
    </row>
    <row r="157" spans="1:4" x14ac:dyDescent="0.3">
      <c r="A157" s="157">
        <v>45100</v>
      </c>
      <c r="B157" s="158">
        <v>27291.39</v>
      </c>
      <c r="C157"/>
      <c r="D157" s="160"/>
    </row>
    <row r="158" spans="1:4" x14ac:dyDescent="0.3">
      <c r="A158" s="157">
        <v>45099</v>
      </c>
      <c r="B158" s="158">
        <v>27445.97</v>
      </c>
      <c r="C158"/>
      <c r="D158" s="160"/>
    </row>
    <row r="159" spans="1:4" x14ac:dyDescent="0.3">
      <c r="A159" s="157">
        <v>45098</v>
      </c>
      <c r="B159" s="158">
        <v>27571.14</v>
      </c>
      <c r="C159"/>
      <c r="D159" s="160"/>
    </row>
    <row r="160" spans="1:4" x14ac:dyDescent="0.3">
      <c r="A160" s="157">
        <v>45097</v>
      </c>
      <c r="B160" s="158">
        <v>27512.41</v>
      </c>
      <c r="C160"/>
      <c r="D160" s="160"/>
    </row>
    <row r="161" spans="1:4" x14ac:dyDescent="0.3">
      <c r="A161" s="157">
        <v>45096</v>
      </c>
      <c r="B161" s="158">
        <v>27422.87</v>
      </c>
      <c r="C161"/>
      <c r="D161" s="160"/>
    </row>
    <row r="162" spans="1:4" x14ac:dyDescent="0.3">
      <c r="A162" s="157">
        <v>45093</v>
      </c>
      <c r="B162" s="158">
        <v>27519.439999999999</v>
      </c>
      <c r="C162"/>
      <c r="D162" s="160"/>
    </row>
    <row r="163" spans="1:4" x14ac:dyDescent="0.3">
      <c r="A163" s="157">
        <v>45092</v>
      </c>
      <c r="B163" s="158">
        <v>27317.25</v>
      </c>
      <c r="C163"/>
      <c r="D163" s="160"/>
    </row>
    <row r="164" spans="1:4" x14ac:dyDescent="0.3">
      <c r="A164" s="157">
        <v>45091</v>
      </c>
      <c r="B164" s="158">
        <v>27408.12</v>
      </c>
      <c r="C164"/>
      <c r="D164" s="160"/>
    </row>
    <row r="165" spans="1:4" x14ac:dyDescent="0.3">
      <c r="A165" s="157">
        <v>45090</v>
      </c>
      <c r="B165" s="158">
        <v>27350.09</v>
      </c>
      <c r="C165"/>
      <c r="D165" s="160"/>
    </row>
    <row r="166" spans="1:4" x14ac:dyDescent="0.3">
      <c r="A166" s="157">
        <v>45089</v>
      </c>
      <c r="B166" s="158">
        <v>27182.55</v>
      </c>
      <c r="C166"/>
      <c r="D166" s="160"/>
    </row>
    <row r="167" spans="1:4" x14ac:dyDescent="0.3">
      <c r="A167" s="157">
        <v>45086</v>
      </c>
      <c r="B167" s="158">
        <v>27126.86</v>
      </c>
      <c r="C167"/>
      <c r="D167" s="160"/>
    </row>
    <row r="168" spans="1:4" x14ac:dyDescent="0.3">
      <c r="A168" s="157">
        <v>45085</v>
      </c>
      <c r="B168" s="158">
        <v>27227.59</v>
      </c>
      <c r="C168"/>
      <c r="D168" s="160"/>
    </row>
    <row r="169" spans="1:4" x14ac:dyDescent="0.3">
      <c r="A169" s="157">
        <v>45084</v>
      </c>
      <c r="B169" s="158">
        <v>27361.85</v>
      </c>
      <c r="C169"/>
      <c r="D169" s="160"/>
    </row>
    <row r="170" spans="1:4" x14ac:dyDescent="0.3">
      <c r="A170" s="157">
        <v>45083</v>
      </c>
      <c r="B170" s="158">
        <v>27175.7</v>
      </c>
      <c r="C170"/>
      <c r="D170" s="160"/>
    </row>
    <row r="171" spans="1:4" x14ac:dyDescent="0.3">
      <c r="A171" s="157">
        <v>45082</v>
      </c>
      <c r="B171" s="158">
        <v>27168.13</v>
      </c>
      <c r="C171"/>
      <c r="D171" s="160"/>
    </row>
    <row r="172" spans="1:4" x14ac:dyDescent="0.3">
      <c r="A172" s="157">
        <v>45079</v>
      </c>
      <c r="B172" s="158">
        <v>27080.87</v>
      </c>
      <c r="C172"/>
      <c r="D172" s="160"/>
    </row>
    <row r="173" spans="1:4" x14ac:dyDescent="0.3">
      <c r="A173" s="157">
        <v>45078</v>
      </c>
      <c r="B173" s="158">
        <v>26989.35</v>
      </c>
      <c r="C173"/>
      <c r="D173" s="160"/>
    </row>
    <row r="174" spans="1:4" x14ac:dyDescent="0.3">
      <c r="A174" s="157">
        <v>45077</v>
      </c>
      <c r="B174" s="158">
        <v>27057.439999999999</v>
      </c>
      <c r="C174"/>
      <c r="D174" s="160"/>
    </row>
    <row r="175" spans="1:4" x14ac:dyDescent="0.3">
      <c r="A175" s="157">
        <v>45076</v>
      </c>
      <c r="B175" s="158">
        <v>27188.18</v>
      </c>
      <c r="C175"/>
      <c r="D175" s="160"/>
    </row>
    <row r="176" spans="1:4" x14ac:dyDescent="0.3">
      <c r="A176" s="157">
        <v>45075</v>
      </c>
      <c r="B176" s="158">
        <v>27136.82</v>
      </c>
      <c r="C176"/>
      <c r="D176" s="160"/>
    </row>
    <row r="177" spans="1:4" x14ac:dyDescent="0.3">
      <c r="A177" s="157">
        <v>45072</v>
      </c>
      <c r="B177" s="158">
        <v>26991.87</v>
      </c>
      <c r="C177"/>
      <c r="D177" s="160"/>
    </row>
    <row r="178" spans="1:4" x14ac:dyDescent="0.3">
      <c r="A178" s="157">
        <v>45071</v>
      </c>
      <c r="B178" s="158">
        <v>26731.86</v>
      </c>
      <c r="C178"/>
      <c r="D178" s="160"/>
    </row>
    <row r="179" spans="1:4" x14ac:dyDescent="0.3">
      <c r="A179" s="157">
        <v>45070</v>
      </c>
      <c r="B179" s="158">
        <v>26679.72</v>
      </c>
      <c r="C179"/>
      <c r="D179" s="160"/>
    </row>
    <row r="180" spans="1:4" x14ac:dyDescent="0.3">
      <c r="A180" s="157">
        <v>45069</v>
      </c>
      <c r="B180" s="158">
        <v>26771.1</v>
      </c>
      <c r="C180"/>
      <c r="D180" s="160"/>
    </row>
    <row r="181" spans="1:4" x14ac:dyDescent="0.3">
      <c r="A181" s="157">
        <v>45068</v>
      </c>
      <c r="B181" s="158">
        <v>26722.03</v>
      </c>
      <c r="C181"/>
      <c r="D181" s="160"/>
    </row>
    <row r="182" spans="1:4" x14ac:dyDescent="0.3">
      <c r="A182" s="157">
        <v>45065</v>
      </c>
      <c r="B182" s="158">
        <v>26560.1</v>
      </c>
      <c r="C182"/>
      <c r="D182" s="160"/>
    </row>
    <row r="183" spans="1:4" x14ac:dyDescent="0.3">
      <c r="A183" s="157">
        <v>45064</v>
      </c>
      <c r="B183" s="158">
        <v>26451.26</v>
      </c>
      <c r="C183"/>
      <c r="D183" s="160"/>
    </row>
    <row r="184" spans="1:4" x14ac:dyDescent="0.3">
      <c r="A184" s="157">
        <v>45063</v>
      </c>
      <c r="B184" s="158">
        <v>26526.82</v>
      </c>
      <c r="C184"/>
      <c r="D184" s="160"/>
    </row>
    <row r="185" spans="1:4" x14ac:dyDescent="0.3">
      <c r="A185" s="157">
        <v>45062</v>
      </c>
      <c r="B185" s="158">
        <v>26679.67</v>
      </c>
      <c r="C185"/>
      <c r="D185" s="160"/>
    </row>
    <row r="186" spans="1:4" x14ac:dyDescent="0.3">
      <c r="A186" s="157">
        <v>45061</v>
      </c>
      <c r="B186" s="158">
        <v>26789.02</v>
      </c>
      <c r="C186"/>
      <c r="D186" s="160"/>
    </row>
    <row r="187" spans="1:4" x14ac:dyDescent="0.3">
      <c r="A187" s="157">
        <v>45058</v>
      </c>
      <c r="B187" s="158">
        <v>26666.67</v>
      </c>
      <c r="C187"/>
      <c r="D187" s="160"/>
    </row>
    <row r="188" spans="1:4" x14ac:dyDescent="0.3">
      <c r="A188" s="157">
        <v>45057</v>
      </c>
      <c r="B188" s="158">
        <v>26640.77</v>
      </c>
      <c r="C188"/>
      <c r="D188" s="160"/>
    </row>
    <row r="189" spans="1:4" x14ac:dyDescent="0.3">
      <c r="A189" s="157">
        <v>45056</v>
      </c>
      <c r="B189" s="158">
        <v>26667.11</v>
      </c>
      <c r="C189"/>
      <c r="D189" s="160"/>
    </row>
    <row r="190" spans="1:4" x14ac:dyDescent="0.3">
      <c r="A190" s="157">
        <v>45055</v>
      </c>
      <c r="B190" s="158">
        <v>26595.52</v>
      </c>
      <c r="C190"/>
      <c r="D190" s="160"/>
    </row>
    <row r="191" spans="1:4" x14ac:dyDescent="0.3">
      <c r="A191" s="157">
        <v>45054</v>
      </c>
      <c r="B191" s="158">
        <v>26593.29</v>
      </c>
      <c r="C191"/>
      <c r="D191" s="160"/>
    </row>
    <row r="192" spans="1:4" x14ac:dyDescent="0.3">
      <c r="A192" s="157">
        <v>45051</v>
      </c>
      <c r="B192" s="158">
        <v>26308.78</v>
      </c>
      <c r="C192"/>
      <c r="D192" s="160"/>
    </row>
    <row r="193" spans="1:4" x14ac:dyDescent="0.3">
      <c r="A193" s="157">
        <v>45050</v>
      </c>
      <c r="B193" s="158">
        <v>26580.77</v>
      </c>
      <c r="C193"/>
      <c r="D193" s="160"/>
    </row>
    <row r="194" spans="1:4" x14ac:dyDescent="0.3">
      <c r="A194" s="157">
        <v>45049</v>
      </c>
      <c r="B194" s="158">
        <v>26339.14</v>
      </c>
      <c r="C194"/>
      <c r="D194" s="160"/>
    </row>
    <row r="195" spans="1:4" x14ac:dyDescent="0.3">
      <c r="A195" s="157">
        <v>45048</v>
      </c>
      <c r="B195" s="158">
        <v>26423.3</v>
      </c>
      <c r="C195"/>
      <c r="D195" s="160"/>
    </row>
    <row r="196" spans="1:4" x14ac:dyDescent="0.3">
      <c r="A196" s="157">
        <v>45044</v>
      </c>
      <c r="B196" s="158">
        <v>26302.92</v>
      </c>
      <c r="C196"/>
      <c r="D196" s="160"/>
    </row>
    <row r="197" spans="1:4" x14ac:dyDescent="0.3">
      <c r="A197" s="157">
        <v>45043</v>
      </c>
      <c r="B197" s="158">
        <v>26078.38</v>
      </c>
      <c r="C197"/>
      <c r="D197" s="160"/>
    </row>
    <row r="198" spans="1:4" x14ac:dyDescent="0.3">
      <c r="A198" s="157">
        <v>45042</v>
      </c>
      <c r="B198" s="158">
        <v>25930.7</v>
      </c>
      <c r="C198"/>
      <c r="D198" s="160"/>
    </row>
    <row r="199" spans="1:4" x14ac:dyDescent="0.3">
      <c r="A199" s="157">
        <v>45041</v>
      </c>
      <c r="B199" s="158">
        <v>25866.09</v>
      </c>
      <c r="C199"/>
      <c r="D199" s="160"/>
    </row>
    <row r="200" spans="1:4" x14ac:dyDescent="0.3">
      <c r="A200" s="157">
        <v>45040</v>
      </c>
      <c r="B200" s="158">
        <v>25828.46</v>
      </c>
      <c r="C200"/>
      <c r="D200" s="160"/>
    </row>
    <row r="201" spans="1:4" x14ac:dyDescent="0.3">
      <c r="A201" s="157">
        <v>45037</v>
      </c>
      <c r="B201" s="158">
        <v>25654.78</v>
      </c>
      <c r="C201"/>
      <c r="D201" s="160"/>
    </row>
    <row r="202" spans="1:4" x14ac:dyDescent="0.3">
      <c r="A202" s="157">
        <v>45036</v>
      </c>
      <c r="B202" s="158">
        <v>25654.16</v>
      </c>
      <c r="C202"/>
      <c r="D202" s="160"/>
    </row>
    <row r="203" spans="1:4" x14ac:dyDescent="0.3">
      <c r="A203" s="157">
        <v>45035</v>
      </c>
      <c r="B203" s="158">
        <v>25645.82</v>
      </c>
      <c r="C203"/>
      <c r="D203" s="160"/>
    </row>
    <row r="204" spans="1:4" x14ac:dyDescent="0.3">
      <c r="A204" s="157">
        <v>45034</v>
      </c>
      <c r="B204" s="158">
        <v>25706.09</v>
      </c>
      <c r="C204"/>
      <c r="D204" s="160"/>
    </row>
    <row r="205" spans="1:4" x14ac:dyDescent="0.3">
      <c r="A205" s="157">
        <v>45033</v>
      </c>
      <c r="B205" s="158">
        <v>25774.07</v>
      </c>
      <c r="C205"/>
      <c r="D205" s="160"/>
    </row>
    <row r="206" spans="1:4" x14ac:dyDescent="0.3">
      <c r="A206" s="157">
        <v>45029</v>
      </c>
      <c r="B206" s="158">
        <v>25950.39</v>
      </c>
      <c r="C206"/>
      <c r="D206" s="160"/>
    </row>
    <row r="207" spans="1:4" x14ac:dyDescent="0.3">
      <c r="A207" s="157">
        <v>45028</v>
      </c>
      <c r="B207" s="158">
        <v>25924.89</v>
      </c>
      <c r="C207"/>
      <c r="D207" s="160"/>
    </row>
    <row r="208" spans="1:4" x14ac:dyDescent="0.3">
      <c r="A208" s="157">
        <v>45027</v>
      </c>
      <c r="B208" s="158">
        <v>25793.77</v>
      </c>
      <c r="C208"/>
      <c r="D208" s="160"/>
    </row>
    <row r="209" spans="1:4" x14ac:dyDescent="0.3">
      <c r="A209" s="157">
        <v>45026</v>
      </c>
      <c r="B209" s="158">
        <v>25650.73</v>
      </c>
      <c r="C209"/>
      <c r="D209" s="160"/>
    </row>
    <row r="210" spans="1:4" x14ac:dyDescent="0.3">
      <c r="A210" s="157">
        <v>45022</v>
      </c>
      <c r="B210" s="158">
        <v>25614.55</v>
      </c>
      <c r="C210"/>
      <c r="D210" s="160"/>
    </row>
    <row r="211" spans="1:4" x14ac:dyDescent="0.3">
      <c r="A211" s="157">
        <v>45021</v>
      </c>
      <c r="B211" s="158">
        <v>25553.279999999999</v>
      </c>
      <c r="C211"/>
      <c r="D211" s="160"/>
    </row>
    <row r="212" spans="1:4" x14ac:dyDescent="0.3">
      <c r="A212" s="157">
        <v>45019</v>
      </c>
      <c r="B212" s="158">
        <v>25321.85</v>
      </c>
      <c r="C212"/>
      <c r="D212" s="160"/>
    </row>
    <row r="213" spans="1:4" x14ac:dyDescent="0.3">
      <c r="A213" s="157">
        <v>45016</v>
      </c>
      <c r="B213" s="158">
        <v>25266.06</v>
      </c>
      <c r="C213"/>
      <c r="D213" s="160"/>
    </row>
    <row r="214" spans="1:4" x14ac:dyDescent="0.3">
      <c r="A214" s="157">
        <v>45014</v>
      </c>
      <c r="B214" s="158">
        <v>24859.93</v>
      </c>
      <c r="C214"/>
      <c r="D214" s="160"/>
    </row>
    <row r="215" spans="1:4" x14ac:dyDescent="0.3">
      <c r="A215" s="157">
        <v>45013</v>
      </c>
      <c r="B215" s="158">
        <v>24672.17</v>
      </c>
      <c r="C215"/>
      <c r="D215" s="160"/>
    </row>
    <row r="216" spans="1:4" x14ac:dyDescent="0.3">
      <c r="A216" s="157">
        <v>45012</v>
      </c>
      <c r="B216" s="158">
        <v>24721.71</v>
      </c>
      <c r="C216"/>
      <c r="D216" s="160"/>
    </row>
    <row r="217" spans="1:4" x14ac:dyDescent="0.3">
      <c r="A217" s="157">
        <v>45009</v>
      </c>
      <c r="B217" s="158">
        <v>24662.53</v>
      </c>
      <c r="C217"/>
      <c r="D217" s="160"/>
    </row>
    <row r="218" spans="1:4" x14ac:dyDescent="0.3">
      <c r="A218" s="157">
        <v>45008</v>
      </c>
      <c r="B218" s="158">
        <v>24854.39</v>
      </c>
      <c r="C218"/>
      <c r="D218" s="160"/>
    </row>
    <row r="219" spans="1:4" x14ac:dyDescent="0.3">
      <c r="A219" s="157">
        <v>45007</v>
      </c>
      <c r="B219" s="158">
        <v>24963.55</v>
      </c>
      <c r="C219"/>
      <c r="D219" s="160"/>
    </row>
    <row r="220" spans="1:4" x14ac:dyDescent="0.3">
      <c r="A220" s="157">
        <v>45006</v>
      </c>
      <c r="B220" s="158">
        <v>24898.97</v>
      </c>
      <c r="C220"/>
      <c r="D220" s="160"/>
    </row>
    <row r="221" spans="1:4" x14ac:dyDescent="0.3">
      <c r="A221" s="157">
        <v>45005</v>
      </c>
      <c r="B221" s="158">
        <v>24725.599999999999</v>
      </c>
      <c r="C221"/>
      <c r="D221" s="160"/>
    </row>
    <row r="222" spans="1:4" x14ac:dyDescent="0.3">
      <c r="A222" s="157">
        <v>45002</v>
      </c>
      <c r="B222" s="158">
        <v>24888.1</v>
      </c>
      <c r="C222"/>
      <c r="D222" s="160"/>
    </row>
    <row r="223" spans="1:4" x14ac:dyDescent="0.3">
      <c r="A223" s="157">
        <v>45001</v>
      </c>
      <c r="B223" s="158">
        <v>24721.52</v>
      </c>
      <c r="C223"/>
      <c r="D223" s="160"/>
    </row>
    <row r="224" spans="1:4" x14ac:dyDescent="0.3">
      <c r="A224" s="157">
        <v>45000</v>
      </c>
      <c r="B224" s="158">
        <v>24701.599999999999</v>
      </c>
      <c r="C224"/>
      <c r="D224" s="160"/>
    </row>
    <row r="225" spans="1:4" x14ac:dyDescent="0.3">
      <c r="A225" s="157">
        <v>44999</v>
      </c>
      <c r="B225" s="158">
        <v>24805.11</v>
      </c>
      <c r="C225"/>
      <c r="D225" s="160"/>
    </row>
    <row r="226" spans="1:4" x14ac:dyDescent="0.3">
      <c r="A226" s="157">
        <v>44998</v>
      </c>
      <c r="B226" s="158">
        <v>24966.68</v>
      </c>
      <c r="C226"/>
      <c r="D226" s="160"/>
    </row>
    <row r="227" spans="1:4" x14ac:dyDescent="0.3">
      <c r="A227" s="157">
        <v>44995</v>
      </c>
      <c r="B227" s="158">
        <v>25343.09</v>
      </c>
      <c r="C227"/>
      <c r="D227" s="160"/>
    </row>
    <row r="228" spans="1:4" x14ac:dyDescent="0.3">
      <c r="A228" s="157">
        <v>44994</v>
      </c>
      <c r="B228" s="158">
        <v>25600.240000000002</v>
      </c>
      <c r="C228"/>
      <c r="D228" s="160"/>
    </row>
    <row r="229" spans="1:4" x14ac:dyDescent="0.3">
      <c r="A229" s="157">
        <v>44993</v>
      </c>
      <c r="B229" s="158">
        <v>25840.12</v>
      </c>
      <c r="C229"/>
      <c r="D229" s="160"/>
    </row>
    <row r="230" spans="1:4" x14ac:dyDescent="0.3">
      <c r="A230" s="157">
        <v>44991</v>
      </c>
      <c r="B230" s="158">
        <v>25777.599999999999</v>
      </c>
      <c r="C230"/>
      <c r="D230" s="160"/>
    </row>
    <row r="231" spans="1:4" x14ac:dyDescent="0.3">
      <c r="A231" s="157">
        <v>44988</v>
      </c>
      <c r="B231" s="158">
        <v>25607.14</v>
      </c>
      <c r="C231"/>
      <c r="D231" s="160"/>
    </row>
    <row r="232" spans="1:4" x14ac:dyDescent="0.3">
      <c r="A232" s="157">
        <v>44987</v>
      </c>
      <c r="B232" s="158">
        <v>25210.65</v>
      </c>
      <c r="C232"/>
      <c r="D232" s="160"/>
    </row>
    <row r="233" spans="1:4" x14ac:dyDescent="0.3">
      <c r="A233" s="157">
        <v>44986</v>
      </c>
      <c r="B233" s="158">
        <v>25398.400000000001</v>
      </c>
      <c r="C233"/>
      <c r="D233" s="160"/>
    </row>
    <row r="234" spans="1:4" x14ac:dyDescent="0.3">
      <c r="A234" s="157">
        <v>44985</v>
      </c>
      <c r="B234" s="158">
        <v>25184.47</v>
      </c>
      <c r="C234"/>
      <c r="D234" s="160"/>
    </row>
    <row r="235" spans="1:4" x14ac:dyDescent="0.3">
      <c r="A235" s="157">
        <v>44984</v>
      </c>
      <c r="B235" s="158">
        <v>25313.7</v>
      </c>
      <c r="C235"/>
      <c r="D235" s="160"/>
    </row>
    <row r="236" spans="1:4" x14ac:dyDescent="0.3">
      <c r="A236" s="157">
        <v>44981</v>
      </c>
      <c r="B236" s="158">
        <v>25420.07</v>
      </c>
      <c r="C236"/>
      <c r="D236" s="160"/>
    </row>
    <row r="237" spans="1:4" x14ac:dyDescent="0.3">
      <c r="A237" s="157">
        <v>44980</v>
      </c>
      <c r="B237" s="158">
        <v>25485.97</v>
      </c>
      <c r="C237"/>
      <c r="D237" s="160"/>
    </row>
    <row r="238" spans="1:4" x14ac:dyDescent="0.3">
      <c r="A238" s="157">
        <v>44979</v>
      </c>
      <c r="B238" s="158">
        <v>25548.67</v>
      </c>
      <c r="C238"/>
      <c r="D238" s="160"/>
    </row>
    <row r="239" spans="1:4" x14ac:dyDescent="0.3">
      <c r="A239" s="157">
        <v>44978</v>
      </c>
      <c r="B239" s="158">
        <v>25945.08</v>
      </c>
      <c r="C239"/>
      <c r="D239" s="160"/>
    </row>
    <row r="240" spans="1:4" x14ac:dyDescent="0.3">
      <c r="A240" s="157">
        <v>44977</v>
      </c>
      <c r="B240" s="158">
        <v>25971.19</v>
      </c>
      <c r="C240"/>
      <c r="D240" s="160"/>
    </row>
    <row r="241" spans="1:4" x14ac:dyDescent="0.3">
      <c r="A241" s="157">
        <v>44974</v>
      </c>
      <c r="B241" s="158">
        <v>26116.12</v>
      </c>
      <c r="C241"/>
      <c r="D241" s="160"/>
    </row>
    <row r="242" spans="1:4" x14ac:dyDescent="0.3">
      <c r="A242" s="157">
        <v>44973</v>
      </c>
      <c r="B242" s="158">
        <v>26249.52</v>
      </c>
      <c r="C242"/>
      <c r="D242" s="160"/>
    </row>
    <row r="243" spans="1:4" x14ac:dyDescent="0.3">
      <c r="A243" s="157">
        <v>44972</v>
      </c>
      <c r="B243" s="158">
        <v>26220.43</v>
      </c>
      <c r="C243"/>
      <c r="D243" s="160"/>
    </row>
    <row r="244" spans="1:4" x14ac:dyDescent="0.3">
      <c r="A244" s="157">
        <v>44971</v>
      </c>
      <c r="B244" s="158">
        <v>26077.93</v>
      </c>
      <c r="C244"/>
      <c r="D244" s="160"/>
    </row>
    <row r="245" spans="1:4" x14ac:dyDescent="0.3">
      <c r="A245" s="157">
        <v>44970</v>
      </c>
      <c r="B245" s="158">
        <v>25846.7</v>
      </c>
      <c r="C245"/>
      <c r="D245" s="160"/>
    </row>
    <row r="246" spans="1:4" x14ac:dyDescent="0.3">
      <c r="A246" s="157">
        <v>44967</v>
      </c>
      <c r="B246" s="158">
        <v>25971.23</v>
      </c>
      <c r="C246"/>
      <c r="D246" s="160"/>
    </row>
    <row r="247" spans="1:4" x14ac:dyDescent="0.3">
      <c r="A247" s="157">
        <v>44966</v>
      </c>
      <c r="B247" s="158">
        <v>26024.94</v>
      </c>
      <c r="C247"/>
      <c r="D247" s="160"/>
    </row>
    <row r="248" spans="1:4" x14ac:dyDescent="0.3">
      <c r="A248" s="157">
        <v>44965</v>
      </c>
      <c r="B248" s="158">
        <v>25993.34</v>
      </c>
      <c r="C248"/>
      <c r="D248" s="160"/>
    </row>
    <row r="249" spans="1:4" x14ac:dyDescent="0.3">
      <c r="A249" s="157">
        <v>44964</v>
      </c>
      <c r="B249" s="158">
        <v>25772.19</v>
      </c>
      <c r="C249"/>
      <c r="D249" s="160"/>
    </row>
    <row r="250" spans="1:4" x14ac:dyDescent="0.3">
      <c r="A250" s="157">
        <v>44963</v>
      </c>
      <c r="B250" s="158">
        <v>25834.87</v>
      </c>
      <c r="C250"/>
      <c r="D250" s="160"/>
    </row>
    <row r="251" spans="1:4" x14ac:dyDescent="0.3">
      <c r="A251" s="157">
        <v>44960</v>
      </c>
      <c r="B251" s="158">
        <v>25965</v>
      </c>
      <c r="C251"/>
      <c r="D251" s="160"/>
    </row>
    <row r="252" spans="1:4" x14ac:dyDescent="0.3">
      <c r="A252" s="157">
        <v>44959</v>
      </c>
      <c r="B252" s="158">
        <v>25610.65</v>
      </c>
      <c r="C252"/>
      <c r="D252" s="160"/>
    </row>
    <row r="253" spans="1:4" x14ac:dyDescent="0.3">
      <c r="A253" s="157">
        <v>44958</v>
      </c>
      <c r="B253" s="158">
        <v>25619.24</v>
      </c>
      <c r="C253"/>
      <c r="D253" s="160"/>
    </row>
    <row r="254" spans="1:4" x14ac:dyDescent="0.3">
      <c r="A254" s="157">
        <v>44957</v>
      </c>
      <c r="B254" s="158">
        <v>25685.94</v>
      </c>
      <c r="C254"/>
      <c r="D254" s="160"/>
    </row>
    <row r="255" spans="1:4" x14ac:dyDescent="0.3">
      <c r="A255" s="157">
        <v>44956</v>
      </c>
      <c r="B255" s="158">
        <v>25666.69</v>
      </c>
      <c r="C255"/>
      <c r="D255" s="160"/>
    </row>
    <row r="256" spans="1:4" x14ac:dyDescent="0.3">
      <c r="A256" s="157">
        <v>44953</v>
      </c>
      <c r="B256" s="158">
        <v>25601.88</v>
      </c>
      <c r="C256"/>
      <c r="D256" s="160"/>
    </row>
    <row r="257" spans="1:4" x14ac:dyDescent="0.3">
      <c r="A257" s="157">
        <v>44951</v>
      </c>
      <c r="B257" s="158">
        <v>26020.13</v>
      </c>
      <c r="C257"/>
      <c r="D257" s="160"/>
    </row>
    <row r="258" spans="1:4" x14ac:dyDescent="0.3">
      <c r="A258" s="157">
        <v>44950</v>
      </c>
      <c r="B258" s="158">
        <v>26349.279999999999</v>
      </c>
      <c r="C258"/>
      <c r="D258" s="160"/>
    </row>
    <row r="259" spans="1:4" x14ac:dyDescent="0.3">
      <c r="A259" s="157">
        <v>44949</v>
      </c>
      <c r="B259" s="158">
        <v>26349.14</v>
      </c>
      <c r="C259"/>
      <c r="D259" s="160"/>
    </row>
    <row r="260" spans="1:4" x14ac:dyDescent="0.3">
      <c r="A260" s="157">
        <v>44946</v>
      </c>
      <c r="B260" s="158">
        <v>26216.94</v>
      </c>
      <c r="C260"/>
      <c r="D260" s="160"/>
    </row>
    <row r="261" spans="1:4" x14ac:dyDescent="0.3">
      <c r="A261" s="157">
        <v>44945</v>
      </c>
      <c r="B261" s="158">
        <v>26333.57</v>
      </c>
      <c r="C261"/>
      <c r="D261" s="160"/>
    </row>
    <row r="262" spans="1:4" x14ac:dyDescent="0.3">
      <c r="A262" s="157">
        <v>44944</v>
      </c>
      <c r="B262" s="158">
        <v>26413.71</v>
      </c>
      <c r="C262"/>
      <c r="D262" s="160"/>
    </row>
    <row r="263" spans="1:4" x14ac:dyDescent="0.3">
      <c r="A263" s="157">
        <v>44943</v>
      </c>
      <c r="B263" s="158">
        <v>26250.81</v>
      </c>
      <c r="C263"/>
      <c r="D263" s="160"/>
    </row>
    <row r="264" spans="1:4" x14ac:dyDescent="0.3">
      <c r="A264" s="157">
        <v>44942</v>
      </c>
      <c r="B264" s="158">
        <v>26020.39</v>
      </c>
      <c r="C264"/>
      <c r="D264" s="160"/>
    </row>
    <row r="265" spans="1:4" x14ac:dyDescent="0.3">
      <c r="A265" s="157">
        <v>44939</v>
      </c>
      <c r="B265" s="158">
        <v>26110.2</v>
      </c>
      <c r="C265"/>
      <c r="D265" s="160"/>
    </row>
    <row r="266" spans="1:4" x14ac:dyDescent="0.3">
      <c r="A266" s="157">
        <v>44938</v>
      </c>
      <c r="B266" s="158">
        <v>25967.07</v>
      </c>
      <c r="C266"/>
      <c r="D266" s="160"/>
    </row>
    <row r="267" spans="1:4" x14ac:dyDescent="0.3">
      <c r="A267" s="157">
        <v>44937</v>
      </c>
      <c r="B267" s="158">
        <v>26021.599999999999</v>
      </c>
      <c r="C267"/>
      <c r="D267" s="160"/>
    </row>
    <row r="268" spans="1:4" x14ac:dyDescent="0.3">
      <c r="A268" s="157">
        <v>44936</v>
      </c>
      <c r="B268" s="158">
        <v>26048.47</v>
      </c>
      <c r="C268"/>
      <c r="D268" s="160"/>
    </row>
    <row r="269" spans="1:4" x14ac:dyDescent="0.3">
      <c r="A269" s="157">
        <v>44935</v>
      </c>
      <c r="B269" s="158">
        <v>26320.41</v>
      </c>
      <c r="C269"/>
      <c r="D269" s="160"/>
    </row>
    <row r="270" spans="1:4" x14ac:dyDescent="0.3">
      <c r="A270" s="157">
        <v>44932</v>
      </c>
      <c r="B270" s="158">
        <v>25968.95</v>
      </c>
      <c r="C270"/>
      <c r="D270" s="160"/>
    </row>
    <row r="271" spans="1:4" x14ac:dyDescent="0.3">
      <c r="A271" s="157">
        <v>44931</v>
      </c>
      <c r="B271" s="158">
        <v>26161.85</v>
      </c>
      <c r="C271"/>
      <c r="D271" s="160"/>
    </row>
    <row r="272" spans="1:4" x14ac:dyDescent="0.3">
      <c r="A272" s="157">
        <v>44930</v>
      </c>
      <c r="B272" s="158">
        <v>26235.73</v>
      </c>
      <c r="C272"/>
      <c r="D272" s="160"/>
    </row>
    <row r="273" spans="1:4" x14ac:dyDescent="0.3">
      <c r="A273" s="157">
        <v>44929</v>
      </c>
      <c r="B273" s="158">
        <v>26511.45</v>
      </c>
      <c r="C273"/>
      <c r="D273" s="160"/>
    </row>
    <row r="274" spans="1:4" x14ac:dyDescent="0.3">
      <c r="A274" s="157">
        <v>44928</v>
      </c>
      <c r="B274" s="158">
        <v>26460.41</v>
      </c>
      <c r="C274"/>
      <c r="D274" s="160"/>
    </row>
    <row r="275" spans="1:4" x14ac:dyDescent="0.3">
      <c r="A275" s="157">
        <v>44925</v>
      </c>
      <c r="B275" s="158">
        <v>26326.37</v>
      </c>
      <c r="C275"/>
      <c r="D275" s="160"/>
    </row>
    <row r="276" spans="1:4" x14ac:dyDescent="0.3">
      <c r="A276" s="157">
        <v>44924</v>
      </c>
      <c r="B276" s="158">
        <v>26451.02</v>
      </c>
      <c r="C276"/>
      <c r="D276" s="160"/>
    </row>
    <row r="277" spans="1:4" x14ac:dyDescent="0.3">
      <c r="A277" s="157">
        <v>44923</v>
      </c>
      <c r="B277" s="158">
        <v>26351.4</v>
      </c>
      <c r="C277"/>
      <c r="D277" s="160"/>
    </row>
    <row r="278" spans="1:4" x14ac:dyDescent="0.3">
      <c r="A278" s="157">
        <v>44922</v>
      </c>
      <c r="B278" s="158">
        <v>26365.65</v>
      </c>
      <c r="C278"/>
      <c r="D278" s="160"/>
    </row>
    <row r="279" spans="1:4" x14ac:dyDescent="0.3">
      <c r="A279" s="157">
        <v>44921</v>
      </c>
      <c r="B279" s="158">
        <v>26194.52</v>
      </c>
      <c r="C279"/>
      <c r="D279" s="160"/>
    </row>
    <row r="280" spans="1:4" x14ac:dyDescent="0.3">
      <c r="A280" s="157">
        <v>44918</v>
      </c>
      <c r="B280" s="158">
        <v>25892.35</v>
      </c>
      <c r="C280"/>
      <c r="D280" s="160"/>
    </row>
    <row r="281" spans="1:4" x14ac:dyDescent="0.3">
      <c r="A281" s="157">
        <v>44917</v>
      </c>
      <c r="B281" s="158">
        <v>26358.44</v>
      </c>
      <c r="C281"/>
      <c r="D281" s="160"/>
    </row>
    <row r="282" spans="1:4" x14ac:dyDescent="0.3">
      <c r="A282" s="157">
        <v>44916</v>
      </c>
      <c r="B282" s="158">
        <v>26462.77</v>
      </c>
      <c r="C282"/>
      <c r="D282" s="160"/>
    </row>
    <row r="283" spans="1:4" x14ac:dyDescent="0.3">
      <c r="A283" s="157">
        <v>44915</v>
      </c>
      <c r="B283" s="158">
        <v>26733.51</v>
      </c>
      <c r="C283"/>
      <c r="D283" s="160"/>
    </row>
    <row r="284" spans="1:4" x14ac:dyDescent="0.3">
      <c r="A284" s="157">
        <v>44914</v>
      </c>
      <c r="B284" s="158">
        <v>26784.68</v>
      </c>
      <c r="C284"/>
      <c r="D284" s="160"/>
    </row>
    <row r="285" spans="1:4" x14ac:dyDescent="0.3">
      <c r="A285" s="157">
        <v>44911</v>
      </c>
      <c r="B285" s="158">
        <v>26564.46</v>
      </c>
      <c r="C285"/>
      <c r="D285" s="160"/>
    </row>
    <row r="286" spans="1:4" x14ac:dyDescent="0.3">
      <c r="A286" s="157">
        <v>44910</v>
      </c>
      <c r="B286" s="158">
        <v>26776.560000000001</v>
      </c>
      <c r="C286"/>
      <c r="D286" s="160"/>
    </row>
    <row r="287" spans="1:4" x14ac:dyDescent="0.3">
      <c r="A287" s="157">
        <v>44909</v>
      </c>
      <c r="B287" s="158">
        <v>27133.4</v>
      </c>
      <c r="C287"/>
      <c r="D287" s="160"/>
    </row>
    <row r="288" spans="1:4" x14ac:dyDescent="0.3">
      <c r="A288" s="157">
        <v>44908</v>
      </c>
      <c r="B288" s="158">
        <v>27057.35</v>
      </c>
      <c r="C288"/>
      <c r="D288" s="160"/>
    </row>
    <row r="289" spans="1:4" x14ac:dyDescent="0.3">
      <c r="A289" s="157">
        <v>44907</v>
      </c>
      <c r="B289" s="158">
        <v>26896.21</v>
      </c>
      <c r="C289"/>
      <c r="D289" s="160"/>
    </row>
    <row r="290" spans="1:4" x14ac:dyDescent="0.3">
      <c r="A290" s="157">
        <v>44904</v>
      </c>
      <c r="B290" s="158">
        <v>26895.35</v>
      </c>
      <c r="C290"/>
      <c r="D290" s="160"/>
    </row>
    <row r="291" spans="1:4" x14ac:dyDescent="0.3">
      <c r="A291" s="157">
        <v>44903</v>
      </c>
      <c r="B291" s="158">
        <v>27059.31</v>
      </c>
      <c r="C291"/>
      <c r="D291" s="160"/>
    </row>
    <row r="292" spans="1:4" x14ac:dyDescent="0.3">
      <c r="A292" s="157">
        <v>44902</v>
      </c>
      <c r="B292" s="158">
        <v>26988.31</v>
      </c>
      <c r="C292"/>
      <c r="D292" s="160"/>
    </row>
    <row r="293" spans="1:4" x14ac:dyDescent="0.3">
      <c r="A293" s="157">
        <v>44901</v>
      </c>
      <c r="B293" s="158">
        <v>27107.87</v>
      </c>
      <c r="C293"/>
      <c r="D293" s="160"/>
    </row>
    <row r="294" spans="1:4" x14ac:dyDescent="0.3">
      <c r="A294" s="157">
        <v>44900</v>
      </c>
      <c r="B294" s="158">
        <v>27192.639999999999</v>
      </c>
      <c r="C294"/>
      <c r="D294" s="160"/>
    </row>
    <row r="295" spans="1:4" x14ac:dyDescent="0.3">
      <c r="A295" s="157">
        <v>44897</v>
      </c>
      <c r="B295" s="158">
        <v>27185.439999999999</v>
      </c>
      <c r="C295"/>
      <c r="D295" s="160"/>
    </row>
    <row r="296" spans="1:4" x14ac:dyDescent="0.3">
      <c r="A296" s="157">
        <v>44896</v>
      </c>
      <c r="B296" s="158">
        <v>27354.74</v>
      </c>
      <c r="C296"/>
      <c r="D296" s="160"/>
    </row>
    <row r="297" spans="1:4" x14ac:dyDescent="0.3">
      <c r="A297" s="157">
        <v>44895</v>
      </c>
      <c r="B297" s="158">
        <v>27276.01</v>
      </c>
      <c r="C297"/>
      <c r="D297" s="160"/>
    </row>
    <row r="298" spans="1:4" x14ac:dyDescent="0.3">
      <c r="A298" s="157">
        <v>44894</v>
      </c>
      <c r="B298" s="158">
        <v>27071.98</v>
      </c>
      <c r="C298"/>
      <c r="D298" s="160"/>
    </row>
    <row r="299" spans="1:4" x14ac:dyDescent="0.3">
      <c r="A299" s="157">
        <v>44893</v>
      </c>
      <c r="B299" s="158">
        <v>26991.599999999999</v>
      </c>
      <c r="C299"/>
      <c r="D299" s="160"/>
    </row>
    <row r="300" spans="1:4" x14ac:dyDescent="0.3">
      <c r="A300" s="157">
        <v>44890</v>
      </c>
      <c r="B300" s="158">
        <v>26918.89</v>
      </c>
      <c r="C300"/>
      <c r="D300" s="160"/>
    </row>
    <row r="301" spans="1:4" x14ac:dyDescent="0.3">
      <c r="A301" s="157">
        <v>44889</v>
      </c>
      <c r="B301" s="158">
        <v>26877.24</v>
      </c>
      <c r="C301"/>
      <c r="D301" s="160"/>
    </row>
    <row r="302" spans="1:4" x14ac:dyDescent="0.3">
      <c r="A302" s="157">
        <v>44888</v>
      </c>
      <c r="B302" s="158">
        <v>26561.89</v>
      </c>
      <c r="C302"/>
      <c r="D302" s="160"/>
    </row>
    <row r="303" spans="1:4" x14ac:dyDescent="0.3">
      <c r="A303" s="157">
        <v>44887</v>
      </c>
      <c r="B303" s="158">
        <v>26528.400000000001</v>
      </c>
      <c r="C303"/>
      <c r="D303" s="160"/>
    </row>
    <row r="304" spans="1:4" x14ac:dyDescent="0.3">
      <c r="A304" s="157">
        <v>44886</v>
      </c>
      <c r="B304" s="158">
        <v>26405.9</v>
      </c>
      <c r="C304"/>
      <c r="D304" s="160"/>
    </row>
    <row r="305" spans="1:5" x14ac:dyDescent="0.3">
      <c r="A305" s="157">
        <v>44883</v>
      </c>
      <c r="B305" s="158">
        <v>26620.61</v>
      </c>
      <c r="C305"/>
      <c r="D305" s="160"/>
    </row>
    <row r="306" spans="1:5" x14ac:dyDescent="0.3">
      <c r="A306" s="157">
        <v>44882</v>
      </c>
      <c r="B306" s="158">
        <v>26673.32</v>
      </c>
      <c r="C306"/>
      <c r="D306" s="160"/>
    </row>
    <row r="307" spans="1:5" x14ac:dyDescent="0.3">
      <c r="A307" s="157">
        <v>44881</v>
      </c>
      <c r="B307" s="158">
        <v>26768.95</v>
      </c>
      <c r="C307"/>
      <c r="D307" s="160"/>
    </row>
    <row r="308" spans="1:5" x14ac:dyDescent="0.3">
      <c r="A308" s="157">
        <v>44880</v>
      </c>
      <c r="B308" s="158">
        <v>26759.85</v>
      </c>
      <c r="C308"/>
      <c r="D308" s="160"/>
    </row>
    <row r="309" spans="1:5" x14ac:dyDescent="0.3">
      <c r="A309" s="157">
        <v>44879</v>
      </c>
      <c r="B309" s="158">
        <v>26651.93</v>
      </c>
      <c r="C309"/>
      <c r="D309" s="160"/>
    </row>
    <row r="310" spans="1:5" x14ac:dyDescent="0.3">
      <c r="A310" s="157">
        <v>44876</v>
      </c>
      <c r="B310" s="158">
        <v>26681.759999999998</v>
      </c>
      <c r="C310"/>
      <c r="D310" s="160"/>
    </row>
    <row r="311" spans="1:5" x14ac:dyDescent="0.3">
      <c r="A311" s="157">
        <v>44875</v>
      </c>
      <c r="B311" s="158">
        <v>26214.31</v>
      </c>
      <c r="C311"/>
      <c r="D311" s="160"/>
    </row>
    <row r="312" spans="1:5" x14ac:dyDescent="0.3">
      <c r="A312" s="157">
        <v>44874</v>
      </c>
      <c r="B312" s="158">
        <v>26401.58</v>
      </c>
      <c r="C312"/>
      <c r="D312" s="160"/>
    </row>
    <row r="313" spans="1:5" x14ac:dyDescent="0.3">
      <c r="A313" s="157">
        <v>44872</v>
      </c>
      <c r="B313" s="158">
        <v>26464.44</v>
      </c>
      <c r="C313"/>
      <c r="D313" s="160"/>
    </row>
    <row r="314" spans="1:5" x14ac:dyDescent="0.3">
      <c r="A314" s="157">
        <v>44869</v>
      </c>
      <c r="B314" s="158">
        <v>26339.9</v>
      </c>
      <c r="C314"/>
      <c r="D314" s="160"/>
    </row>
    <row r="315" spans="1:5" x14ac:dyDescent="0.3">
      <c r="A315" s="157">
        <v>44868</v>
      </c>
      <c r="B315" s="158">
        <v>26246.23</v>
      </c>
      <c r="C315"/>
      <c r="D315" s="160"/>
    </row>
    <row r="316" spans="1:5" x14ac:dyDescent="0.3">
      <c r="A316" s="157">
        <v>44867</v>
      </c>
      <c r="B316" s="158">
        <v>26290.01</v>
      </c>
      <c r="C316"/>
      <c r="D316" s="160"/>
    </row>
    <row r="317" spans="1:5" x14ac:dyDescent="0.3">
      <c r="A317" s="157">
        <v>44866</v>
      </c>
      <c r="B317" s="158">
        <v>26380.97</v>
      </c>
      <c r="C317"/>
      <c r="D317" s="160"/>
    </row>
    <row r="318" spans="1:5" x14ac:dyDescent="0.3">
      <c r="A318" s="157">
        <v>44865</v>
      </c>
      <c r="B318" s="158">
        <v>26182.36</v>
      </c>
      <c r="C318"/>
      <c r="D318" s="160"/>
      <c r="E318" s="159"/>
    </row>
    <row r="319" spans="1:5" x14ac:dyDescent="0.3">
      <c r="A319" s="157">
        <v>44862</v>
      </c>
      <c r="B319" s="158">
        <v>25852.720000000001</v>
      </c>
      <c r="C319"/>
      <c r="D319" s="160"/>
      <c r="E319" s="159"/>
    </row>
    <row r="320" spans="1:5" x14ac:dyDescent="0.3">
      <c r="A320" s="157">
        <v>44861</v>
      </c>
      <c r="B320" s="158">
        <v>25780.23</v>
      </c>
      <c r="C320"/>
      <c r="D320" s="160"/>
      <c r="E320" s="159"/>
    </row>
    <row r="321" spans="1:5" x14ac:dyDescent="0.3">
      <c r="A321" s="157">
        <v>44859</v>
      </c>
      <c r="B321" s="158">
        <v>25643.34</v>
      </c>
      <c r="C321"/>
      <c r="D321" s="160"/>
      <c r="E321" s="159"/>
    </row>
    <row r="322" spans="1:5" x14ac:dyDescent="0.3">
      <c r="A322" s="157">
        <v>44858</v>
      </c>
      <c r="B322" s="158">
        <v>25751.45</v>
      </c>
      <c r="C322"/>
      <c r="D322" s="160"/>
      <c r="E322" s="159"/>
    </row>
    <row r="323" spans="1:5" x14ac:dyDescent="0.3">
      <c r="A323" s="157">
        <v>44855</v>
      </c>
      <c r="B323" s="158">
        <v>25527.09</v>
      </c>
      <c r="C323"/>
      <c r="D323" s="160"/>
      <c r="E323" s="159"/>
    </row>
    <row r="324" spans="1:5" x14ac:dyDescent="0.3">
      <c r="A324" s="157">
        <v>44854</v>
      </c>
      <c r="B324" s="158">
        <v>25509.14</v>
      </c>
      <c r="C324"/>
      <c r="D324" s="160"/>
      <c r="E324" s="159"/>
    </row>
    <row r="325" spans="1:5" x14ac:dyDescent="0.3">
      <c r="A325" s="157">
        <v>44853</v>
      </c>
      <c r="B325" s="158">
        <v>25434.1</v>
      </c>
      <c r="C325"/>
      <c r="D325" s="160"/>
      <c r="E325" s="159"/>
    </row>
    <row r="326" spans="1:5" x14ac:dyDescent="0.3">
      <c r="A326" s="157">
        <v>44852</v>
      </c>
      <c r="B326" s="158">
        <v>25393.89</v>
      </c>
      <c r="C326"/>
      <c r="D326" s="160"/>
      <c r="E326" s="159"/>
    </row>
    <row r="327" spans="1:5" x14ac:dyDescent="0.3">
      <c r="A327" s="157">
        <v>44851</v>
      </c>
      <c r="B327" s="158">
        <v>25139.55</v>
      </c>
      <c r="C327"/>
      <c r="D327" s="160"/>
      <c r="E327" s="159"/>
    </row>
    <row r="328" spans="1:5" x14ac:dyDescent="0.3">
      <c r="A328" s="157">
        <v>44848</v>
      </c>
      <c r="B328" s="158">
        <v>24953.75</v>
      </c>
      <c r="C328"/>
      <c r="D328" s="160"/>
      <c r="E328" s="159"/>
    </row>
    <row r="329" spans="1:5" x14ac:dyDescent="0.3">
      <c r="A329" s="157">
        <v>44847</v>
      </c>
      <c r="B329" s="158">
        <v>24704.95</v>
      </c>
      <c r="C329"/>
      <c r="D329" s="160"/>
      <c r="E329" s="159"/>
    </row>
    <row r="330" spans="1:5" x14ac:dyDescent="0.3">
      <c r="A330" s="157">
        <v>44846</v>
      </c>
      <c r="B330" s="158">
        <v>24863.58</v>
      </c>
      <c r="C330"/>
      <c r="D330" s="160"/>
      <c r="E330" s="159"/>
    </row>
    <row r="331" spans="1:5" x14ac:dyDescent="0.3">
      <c r="A331" s="157">
        <v>44845</v>
      </c>
      <c r="B331" s="158">
        <v>24660.2</v>
      </c>
      <c r="C331"/>
      <c r="D331" s="160"/>
      <c r="E331" s="159"/>
    </row>
    <row r="332" spans="1:5" x14ac:dyDescent="0.3">
      <c r="A332" s="157">
        <v>44844</v>
      </c>
      <c r="B332" s="158">
        <v>25034.02</v>
      </c>
      <c r="C332"/>
      <c r="D332" s="160"/>
      <c r="E332" s="159"/>
    </row>
    <row r="333" spans="1:5" x14ac:dyDescent="0.3">
      <c r="A333" s="157">
        <v>44841</v>
      </c>
      <c r="B333" s="158">
        <v>25140.99</v>
      </c>
      <c r="C333"/>
      <c r="D333" s="160"/>
      <c r="E333" s="159"/>
    </row>
    <row r="334" spans="1:5" x14ac:dyDescent="0.3">
      <c r="A334" s="157">
        <v>44840</v>
      </c>
      <c r="B334" s="158">
        <v>25165.85</v>
      </c>
      <c r="C334"/>
      <c r="D334" s="160"/>
      <c r="E334" s="159"/>
    </row>
    <row r="335" spans="1:5" x14ac:dyDescent="0.3">
      <c r="A335" s="157">
        <v>44838</v>
      </c>
      <c r="B335" s="158">
        <v>25082.39</v>
      </c>
      <c r="C335"/>
      <c r="D335" s="160"/>
      <c r="E335" s="159"/>
    </row>
    <row r="336" spans="1:5" x14ac:dyDescent="0.3">
      <c r="A336" s="157">
        <v>44837</v>
      </c>
      <c r="B336" s="158">
        <v>24520.52</v>
      </c>
      <c r="C336"/>
      <c r="D336" s="160"/>
      <c r="E336" s="159"/>
    </row>
    <row r="337" spans="1:5" x14ac:dyDescent="0.3">
      <c r="A337" s="157">
        <v>44834</v>
      </c>
      <c r="B337" s="158">
        <v>24821.08</v>
      </c>
      <c r="C337"/>
      <c r="D337" s="160"/>
      <c r="E337" s="159"/>
    </row>
    <row r="338" spans="1:5" x14ac:dyDescent="0.3">
      <c r="A338" s="157">
        <v>44833</v>
      </c>
      <c r="B338" s="158">
        <v>24419.98</v>
      </c>
      <c r="C338"/>
      <c r="D338" s="160"/>
      <c r="E338" s="159"/>
    </row>
    <row r="339" spans="1:5" x14ac:dyDescent="0.3">
      <c r="A339" s="157">
        <v>44832</v>
      </c>
      <c r="B339" s="158">
        <v>24478.82</v>
      </c>
      <c r="C339"/>
      <c r="D339" s="160"/>
      <c r="E339" s="159"/>
    </row>
    <row r="340" spans="1:5" x14ac:dyDescent="0.3">
      <c r="A340" s="157">
        <v>44831</v>
      </c>
      <c r="B340" s="158">
        <v>24694.83</v>
      </c>
      <c r="C340"/>
      <c r="D340" s="160"/>
      <c r="E340" s="159"/>
    </row>
    <row r="341" spans="1:5" x14ac:dyDescent="0.3">
      <c r="A341" s="157">
        <v>44830</v>
      </c>
      <c r="B341" s="158">
        <v>24707.77</v>
      </c>
      <c r="C341"/>
      <c r="D341" s="160"/>
      <c r="E341" s="159"/>
    </row>
    <row r="342" spans="1:5" x14ac:dyDescent="0.3">
      <c r="A342" s="157">
        <v>44827</v>
      </c>
      <c r="B342" s="158">
        <v>25159.42</v>
      </c>
      <c r="C342"/>
      <c r="D342" s="160"/>
      <c r="E342" s="159"/>
    </row>
    <row r="343" spans="1:5" x14ac:dyDescent="0.3">
      <c r="A343" s="157">
        <v>44826</v>
      </c>
      <c r="B343" s="158">
        <v>25598.6</v>
      </c>
      <c r="C343"/>
      <c r="D343" s="160"/>
      <c r="E343" s="159"/>
    </row>
    <row r="344" spans="1:5" x14ac:dyDescent="0.3">
      <c r="A344" s="157">
        <v>44825</v>
      </c>
      <c r="B344" s="158">
        <v>25727.13</v>
      </c>
      <c r="C344"/>
      <c r="D344" s="160"/>
      <c r="E344" s="159"/>
    </row>
    <row r="345" spans="1:5" x14ac:dyDescent="0.3">
      <c r="A345" s="157">
        <v>44824</v>
      </c>
      <c r="B345" s="158">
        <v>25869.27</v>
      </c>
      <c r="C345"/>
      <c r="D345" s="160"/>
      <c r="E345" s="159"/>
    </row>
    <row r="346" spans="1:5" x14ac:dyDescent="0.3">
      <c r="A346" s="157">
        <v>44823</v>
      </c>
      <c r="B346" s="158">
        <v>25587.63</v>
      </c>
      <c r="C346"/>
      <c r="D346" s="160"/>
      <c r="E346" s="159"/>
    </row>
    <row r="347" spans="1:5" x14ac:dyDescent="0.3">
      <c r="A347" s="157">
        <v>44820</v>
      </c>
      <c r="B347" s="158">
        <v>25454.93</v>
      </c>
      <c r="C347"/>
      <c r="D347" s="160"/>
      <c r="E347" s="159"/>
    </row>
    <row r="348" spans="1:5" x14ac:dyDescent="0.3">
      <c r="A348" s="157">
        <v>44819</v>
      </c>
      <c r="B348" s="158">
        <v>25958.06</v>
      </c>
      <c r="C348"/>
      <c r="D348" s="160"/>
      <c r="E348" s="159"/>
    </row>
    <row r="349" spans="1:5" x14ac:dyDescent="0.3">
      <c r="A349" s="157">
        <v>44818</v>
      </c>
      <c r="B349" s="158">
        <v>26141.52</v>
      </c>
      <c r="C349"/>
      <c r="D349" s="160"/>
      <c r="E349" s="159"/>
    </row>
    <row r="350" spans="1:5" x14ac:dyDescent="0.3">
      <c r="A350" s="157">
        <v>44817</v>
      </c>
      <c r="B350" s="158">
        <v>26237.81</v>
      </c>
      <c r="C350"/>
      <c r="D350" s="160"/>
      <c r="E350" s="159"/>
    </row>
    <row r="351" spans="1:5" x14ac:dyDescent="0.3">
      <c r="A351" s="157">
        <v>44816</v>
      </c>
      <c r="B351" s="158">
        <v>26043.69</v>
      </c>
      <c r="C351"/>
      <c r="D351" s="160"/>
      <c r="E351" s="159"/>
    </row>
    <row r="352" spans="1:5" x14ac:dyDescent="0.3">
      <c r="A352" s="157">
        <v>44813</v>
      </c>
      <c r="B352" s="158">
        <v>25894.12</v>
      </c>
      <c r="C352"/>
      <c r="D352" s="160"/>
      <c r="E352" s="159"/>
    </row>
    <row r="353" spans="1:5" x14ac:dyDescent="0.3">
      <c r="A353" s="157">
        <v>44812</v>
      </c>
      <c r="B353" s="158">
        <v>25843.86</v>
      </c>
      <c r="C353"/>
      <c r="D353" s="160"/>
      <c r="E353" s="159"/>
    </row>
    <row r="354" spans="1:5" x14ac:dyDescent="0.3">
      <c r="A354" s="157">
        <v>44811</v>
      </c>
      <c r="B354" s="158">
        <v>25590.73</v>
      </c>
      <c r="C354"/>
      <c r="D354" s="160"/>
      <c r="E354" s="159"/>
    </row>
    <row r="355" spans="1:5" x14ac:dyDescent="0.3">
      <c r="A355" s="157">
        <v>44810</v>
      </c>
      <c r="B355" s="158">
        <v>25636.01</v>
      </c>
      <c r="C355"/>
      <c r="D355" s="160"/>
      <c r="E355" s="159"/>
    </row>
    <row r="356" spans="1:5" x14ac:dyDescent="0.3">
      <c r="A356" s="157">
        <v>44809</v>
      </c>
      <c r="B356" s="158">
        <v>25650.83</v>
      </c>
      <c r="C356"/>
      <c r="D356" s="160"/>
      <c r="E356" s="159"/>
    </row>
    <row r="357" spans="1:5" x14ac:dyDescent="0.3">
      <c r="A357" s="157">
        <v>44806</v>
      </c>
      <c r="B357" s="158">
        <v>25467.41</v>
      </c>
      <c r="C357"/>
      <c r="D357" s="160"/>
      <c r="E357" s="159"/>
    </row>
    <row r="358" spans="1:5" x14ac:dyDescent="0.3">
      <c r="A358" s="157">
        <v>44805</v>
      </c>
      <c r="B358" s="158">
        <v>25472.240000000002</v>
      </c>
      <c r="C358"/>
      <c r="D358" s="160"/>
      <c r="E358" s="159"/>
    </row>
    <row r="359" spans="1:5" x14ac:dyDescent="0.3">
      <c r="A359" s="157">
        <v>44803</v>
      </c>
      <c r="B359" s="158">
        <v>25786.59</v>
      </c>
      <c r="C359"/>
      <c r="D359" s="160"/>
      <c r="E359" s="159"/>
    </row>
    <row r="360" spans="1:5" x14ac:dyDescent="0.3">
      <c r="A360" s="157">
        <v>44802</v>
      </c>
      <c r="B360" s="158">
        <v>25138.400000000001</v>
      </c>
      <c r="C360"/>
      <c r="D360" s="160"/>
      <c r="E360" s="159"/>
    </row>
    <row r="361" spans="1:5" x14ac:dyDescent="0.3">
      <c r="A361" s="157">
        <v>44799</v>
      </c>
      <c r="B361" s="158">
        <v>25495.64</v>
      </c>
      <c r="C361"/>
      <c r="D361" s="160"/>
      <c r="E361" s="159"/>
    </row>
    <row r="362" spans="1:5" x14ac:dyDescent="0.3">
      <c r="A362" s="157">
        <v>44798</v>
      </c>
      <c r="B362" s="158">
        <v>25442.67</v>
      </c>
      <c r="C362"/>
      <c r="D362" s="160"/>
      <c r="E362" s="159"/>
    </row>
    <row r="363" spans="1:5" x14ac:dyDescent="0.3">
      <c r="A363" s="157">
        <v>44797</v>
      </c>
      <c r="B363" s="158">
        <v>25562.51</v>
      </c>
      <c r="C363"/>
      <c r="D363" s="160"/>
      <c r="E363" s="159"/>
    </row>
    <row r="364" spans="1:5" x14ac:dyDescent="0.3">
      <c r="A364" s="157">
        <v>44796</v>
      </c>
      <c r="B364" s="158">
        <v>25522.62</v>
      </c>
      <c r="C364"/>
      <c r="D364" s="160"/>
      <c r="E364" s="159"/>
    </row>
    <row r="365" spans="1:5" x14ac:dyDescent="0.3">
      <c r="A365" s="157">
        <v>44795</v>
      </c>
      <c r="B365" s="158">
        <v>25396.57</v>
      </c>
      <c r="C365"/>
      <c r="D365" s="160"/>
      <c r="E365" s="159"/>
    </row>
    <row r="366" spans="1:5" x14ac:dyDescent="0.3">
      <c r="A366" s="157">
        <v>44792</v>
      </c>
      <c r="B366" s="158">
        <v>25785.4</v>
      </c>
      <c r="C366"/>
      <c r="D366" s="160"/>
      <c r="E366" s="159"/>
    </row>
    <row r="367" spans="1:5" x14ac:dyDescent="0.3">
      <c r="A367" s="157">
        <v>44791</v>
      </c>
      <c r="B367" s="158">
        <v>26067.35</v>
      </c>
      <c r="C367"/>
      <c r="D367" s="160"/>
      <c r="E367" s="159"/>
    </row>
    <row r="368" spans="1:5" x14ac:dyDescent="0.3">
      <c r="A368" s="157">
        <v>44790</v>
      </c>
      <c r="B368" s="158">
        <v>26035.87</v>
      </c>
      <c r="C368"/>
      <c r="D368" s="160"/>
      <c r="E368" s="159"/>
    </row>
    <row r="369" spans="1:5" x14ac:dyDescent="0.3">
      <c r="A369" s="157">
        <v>44789</v>
      </c>
      <c r="B369" s="158">
        <v>25863.24</v>
      </c>
      <c r="C369"/>
      <c r="D369" s="160"/>
      <c r="E369" s="159"/>
    </row>
    <row r="370" spans="1:5" x14ac:dyDescent="0.3">
      <c r="A370" s="157">
        <v>44785</v>
      </c>
      <c r="B370" s="158">
        <v>25678.83</v>
      </c>
      <c r="C370"/>
      <c r="D370" s="160"/>
      <c r="E370" s="159"/>
    </row>
    <row r="371" spans="1:5" x14ac:dyDescent="0.3">
      <c r="A371" s="157">
        <v>44784</v>
      </c>
      <c r="B371" s="158">
        <v>25621.06</v>
      </c>
      <c r="C371"/>
      <c r="D371" s="160"/>
      <c r="E371" s="159"/>
    </row>
    <row r="372" spans="1:5" x14ac:dyDescent="0.3">
      <c r="A372" s="157">
        <v>44783</v>
      </c>
      <c r="B372" s="158">
        <v>25431.919999999998</v>
      </c>
      <c r="C372"/>
      <c r="D372" s="160"/>
      <c r="E372" s="159"/>
    </row>
    <row r="373" spans="1:5" x14ac:dyDescent="0.3">
      <c r="A373" s="157">
        <v>44781</v>
      </c>
      <c r="B373" s="158">
        <v>25413.25</v>
      </c>
      <c r="C373"/>
      <c r="D373" s="160"/>
      <c r="E373" s="159"/>
    </row>
    <row r="374" spans="1:5" x14ac:dyDescent="0.3">
      <c r="A374" s="157">
        <v>44778</v>
      </c>
      <c r="B374" s="158">
        <v>25215.93</v>
      </c>
      <c r="C374"/>
      <c r="D374" s="160"/>
      <c r="E374" s="159"/>
    </row>
    <row r="375" spans="1:5" x14ac:dyDescent="0.3">
      <c r="A375" s="157">
        <v>44777</v>
      </c>
      <c r="B375" s="158">
        <v>25193.41</v>
      </c>
      <c r="C375"/>
      <c r="D375" s="160"/>
      <c r="E375" s="159"/>
    </row>
    <row r="376" spans="1:5" x14ac:dyDescent="0.3">
      <c r="A376" s="157">
        <v>44776</v>
      </c>
      <c r="B376" s="158">
        <v>25202.38</v>
      </c>
      <c r="C376"/>
      <c r="D376" s="160"/>
      <c r="E376" s="159"/>
    </row>
    <row r="377" spans="1:5" x14ac:dyDescent="0.3">
      <c r="A377" s="157">
        <v>44775</v>
      </c>
      <c r="B377" s="158">
        <v>25137.82</v>
      </c>
      <c r="C377"/>
      <c r="D377" s="160"/>
      <c r="E377" s="159"/>
    </row>
    <row r="378" spans="1:5" x14ac:dyDescent="0.3">
      <c r="A378" s="157">
        <v>44774</v>
      </c>
      <c r="B378" s="158">
        <v>25128.57</v>
      </c>
      <c r="C378"/>
      <c r="D378" s="160"/>
      <c r="E378" s="159"/>
    </row>
    <row r="379" spans="1:5" x14ac:dyDescent="0.3">
      <c r="A379" s="157">
        <v>44771</v>
      </c>
      <c r="B379" s="158">
        <v>24862.7</v>
      </c>
      <c r="C379"/>
      <c r="D379" s="160"/>
      <c r="E379" s="159"/>
    </row>
    <row r="380" spans="1:5" x14ac:dyDescent="0.3">
      <c r="A380" s="157">
        <v>44770</v>
      </c>
      <c r="B380" s="158">
        <v>24531.38</v>
      </c>
      <c r="C380"/>
      <c r="D380" s="160"/>
      <c r="E380" s="159"/>
    </row>
    <row r="381" spans="1:5" x14ac:dyDescent="0.3">
      <c r="A381" s="157">
        <v>44769</v>
      </c>
      <c r="B381" s="158">
        <v>24114.41</v>
      </c>
      <c r="C381"/>
      <c r="D381" s="160"/>
      <c r="E381" s="159"/>
    </row>
    <row r="382" spans="1:5" x14ac:dyDescent="0.3">
      <c r="A382" s="157">
        <v>44768</v>
      </c>
      <c r="B382" s="158">
        <v>23882.26</v>
      </c>
      <c r="C382"/>
      <c r="D382" s="160"/>
      <c r="E382" s="159"/>
    </row>
    <row r="383" spans="1:5" x14ac:dyDescent="0.3">
      <c r="A383" s="157">
        <v>44767</v>
      </c>
      <c r="B383" s="158">
        <v>24095.46</v>
      </c>
      <c r="C383"/>
      <c r="D383" s="160"/>
      <c r="E383" s="159"/>
    </row>
    <row r="384" spans="1:5" x14ac:dyDescent="0.3">
      <c r="A384" s="157">
        <v>44764</v>
      </c>
      <c r="B384" s="158">
        <v>24223.56</v>
      </c>
      <c r="C384"/>
      <c r="D384" s="160"/>
      <c r="E384" s="159"/>
    </row>
    <row r="385" spans="1:5" x14ac:dyDescent="0.3">
      <c r="A385" s="157">
        <v>44763</v>
      </c>
      <c r="B385" s="158">
        <v>24058.17</v>
      </c>
      <c r="C385"/>
      <c r="D385" s="160"/>
      <c r="E385" s="159"/>
    </row>
    <row r="386" spans="1:5" x14ac:dyDescent="0.3">
      <c r="A386" s="157">
        <v>44762</v>
      </c>
      <c r="B386" s="158">
        <v>23920.880000000001</v>
      </c>
      <c r="C386"/>
      <c r="D386" s="160"/>
      <c r="E386" s="159"/>
    </row>
    <row r="387" spans="1:5" x14ac:dyDescent="0.3">
      <c r="A387" s="157">
        <v>44761</v>
      </c>
      <c r="B387" s="158">
        <v>23659.85</v>
      </c>
      <c r="C387"/>
      <c r="D387" s="160"/>
      <c r="E387" s="159"/>
    </row>
    <row r="388" spans="1:5" x14ac:dyDescent="0.3">
      <c r="A388" s="157">
        <v>44760</v>
      </c>
      <c r="B388" s="158">
        <v>23566.52</v>
      </c>
      <c r="C388"/>
      <c r="D388" s="160"/>
      <c r="E388" s="159"/>
    </row>
    <row r="389" spans="1:5" x14ac:dyDescent="0.3">
      <c r="A389" s="157">
        <v>44757</v>
      </c>
      <c r="B389" s="158">
        <v>23234.52</v>
      </c>
      <c r="C389"/>
      <c r="D389" s="160"/>
      <c r="E389" s="159"/>
    </row>
    <row r="390" spans="1:5" x14ac:dyDescent="0.3">
      <c r="A390" s="157">
        <v>44756</v>
      </c>
      <c r="B390" s="158">
        <v>23074.52</v>
      </c>
      <c r="C390"/>
      <c r="D390" s="160"/>
      <c r="E390" s="159"/>
    </row>
    <row r="391" spans="1:5" x14ac:dyDescent="0.3">
      <c r="A391" s="157">
        <v>44755</v>
      </c>
      <c r="B391" s="158">
        <v>23107.47</v>
      </c>
      <c r="C391"/>
      <c r="D391" s="160"/>
      <c r="E391" s="159"/>
    </row>
    <row r="392" spans="1:5" x14ac:dyDescent="0.3">
      <c r="A392" s="157">
        <v>44754</v>
      </c>
      <c r="B392" s="158">
        <v>23239.9</v>
      </c>
      <c r="C392"/>
      <c r="D392" s="160"/>
      <c r="E392" s="159"/>
    </row>
    <row r="393" spans="1:5" x14ac:dyDescent="0.3">
      <c r="A393" s="157">
        <v>44753</v>
      </c>
      <c r="B393" s="158">
        <v>23468.14</v>
      </c>
      <c r="C393"/>
      <c r="D393" s="160"/>
      <c r="E393" s="159"/>
    </row>
    <row r="394" spans="1:5" x14ac:dyDescent="0.3">
      <c r="A394" s="157">
        <v>44750</v>
      </c>
      <c r="B394" s="158">
        <v>23473.61</v>
      </c>
      <c r="C394"/>
      <c r="D394" s="160"/>
      <c r="E394" s="159"/>
    </row>
    <row r="395" spans="1:5" x14ac:dyDescent="0.3">
      <c r="A395" s="157">
        <v>44749</v>
      </c>
      <c r="B395" s="158">
        <v>23345.61</v>
      </c>
      <c r="C395"/>
      <c r="D395" s="160"/>
      <c r="E395" s="159"/>
    </row>
    <row r="396" spans="1:5" x14ac:dyDescent="0.3">
      <c r="A396" s="157">
        <v>44748</v>
      </c>
      <c r="B396" s="158">
        <v>23137.7</v>
      </c>
      <c r="C396"/>
      <c r="D396" s="160"/>
      <c r="E396" s="159"/>
    </row>
    <row r="397" spans="1:5" x14ac:dyDescent="0.3">
      <c r="A397" s="157">
        <v>44747</v>
      </c>
      <c r="B397" s="158">
        <v>22878.720000000001</v>
      </c>
      <c r="C397"/>
      <c r="D397" s="160"/>
      <c r="E397" s="159"/>
    </row>
    <row r="398" spans="1:5" x14ac:dyDescent="0.3">
      <c r="A398" s="157">
        <v>44746</v>
      </c>
      <c r="B398" s="158">
        <v>22914.2</v>
      </c>
      <c r="C398"/>
      <c r="D398" s="160"/>
      <c r="E398" s="159"/>
    </row>
    <row r="399" spans="1:5" x14ac:dyDescent="0.3">
      <c r="A399" s="157">
        <v>44743</v>
      </c>
      <c r="B399" s="158">
        <v>22788.18</v>
      </c>
      <c r="C399"/>
      <c r="D399" s="160"/>
      <c r="E399" s="159"/>
    </row>
    <row r="400" spans="1:5" x14ac:dyDescent="0.3">
      <c r="A400" s="157">
        <v>44742</v>
      </c>
      <c r="B400" s="158">
        <v>22828.93</v>
      </c>
      <c r="C400"/>
      <c r="D400" s="160"/>
      <c r="E400" s="159"/>
    </row>
    <row r="401" spans="1:5" x14ac:dyDescent="0.3">
      <c r="A401" s="157">
        <v>44741</v>
      </c>
      <c r="B401" s="158">
        <v>22848.35</v>
      </c>
      <c r="C401"/>
      <c r="D401" s="160"/>
      <c r="E401" s="159"/>
    </row>
    <row r="402" spans="1:5" x14ac:dyDescent="0.3">
      <c r="A402" s="157">
        <v>44740</v>
      </c>
      <c r="B402" s="158">
        <v>22922.240000000002</v>
      </c>
      <c r="C402"/>
      <c r="D402" s="160"/>
      <c r="E402" s="159"/>
    </row>
    <row r="403" spans="1:5" x14ac:dyDescent="0.3">
      <c r="A403" s="157">
        <v>44739</v>
      </c>
      <c r="B403" s="158">
        <v>22896.02</v>
      </c>
      <c r="C403"/>
      <c r="D403" s="160"/>
      <c r="E403" s="159"/>
    </row>
    <row r="404" spans="1:5" x14ac:dyDescent="0.3">
      <c r="A404" s="157">
        <v>44736</v>
      </c>
      <c r="B404" s="158">
        <v>22703.95</v>
      </c>
      <c r="C404"/>
      <c r="D404" s="160"/>
      <c r="E404" s="159"/>
    </row>
    <row r="405" spans="1:5" x14ac:dyDescent="0.3">
      <c r="A405" s="157">
        <v>44735</v>
      </c>
      <c r="B405" s="158">
        <v>22497.71</v>
      </c>
      <c r="C405"/>
      <c r="D405" s="160"/>
      <c r="E405" s="159"/>
    </row>
    <row r="406" spans="1:5" x14ac:dyDescent="0.3">
      <c r="A406" s="157">
        <v>44734</v>
      </c>
      <c r="B406" s="158">
        <v>22290.46</v>
      </c>
      <c r="C406"/>
      <c r="D406" s="160"/>
      <c r="E406" s="159"/>
    </row>
    <row r="407" spans="1:5" x14ac:dyDescent="0.3">
      <c r="A407" s="157">
        <v>44733</v>
      </c>
      <c r="B407" s="158">
        <v>22616.52</v>
      </c>
      <c r="C407"/>
      <c r="D407" s="160"/>
      <c r="E407" s="159"/>
    </row>
    <row r="408" spans="1:5" x14ac:dyDescent="0.3">
      <c r="A408" s="157">
        <v>44732</v>
      </c>
      <c r="B408" s="158">
        <v>22199.11</v>
      </c>
      <c r="C408"/>
      <c r="D408" s="160"/>
      <c r="E408" s="159"/>
    </row>
    <row r="409" spans="1:5" x14ac:dyDescent="0.3">
      <c r="A409" s="157">
        <v>44729</v>
      </c>
      <c r="B409" s="158">
        <v>22114.97</v>
      </c>
      <c r="C409"/>
      <c r="D409" s="160"/>
      <c r="E409" s="159"/>
    </row>
    <row r="410" spans="1:5" x14ac:dyDescent="0.3">
      <c r="A410" s="157">
        <v>44728</v>
      </c>
      <c r="B410" s="158">
        <v>22211.98</v>
      </c>
      <c r="C410"/>
      <c r="D410" s="160"/>
      <c r="E410" s="159"/>
    </row>
    <row r="411" spans="1:5" x14ac:dyDescent="0.3">
      <c r="A411" s="157">
        <v>44727</v>
      </c>
      <c r="B411" s="158">
        <v>22691.46</v>
      </c>
      <c r="C411"/>
      <c r="D411" s="160"/>
      <c r="E411" s="159"/>
    </row>
    <row r="412" spans="1:5" x14ac:dyDescent="0.3">
      <c r="A412" s="157">
        <v>44726</v>
      </c>
      <c r="B412" s="158">
        <v>22729.97</v>
      </c>
      <c r="C412"/>
      <c r="D412" s="160"/>
      <c r="E412" s="159"/>
    </row>
    <row r="413" spans="1:5" x14ac:dyDescent="0.3">
      <c r="A413" s="157">
        <v>44725</v>
      </c>
      <c r="B413" s="158">
        <v>22791.119999999999</v>
      </c>
      <c r="C413"/>
      <c r="D413" s="160"/>
      <c r="E413" s="159"/>
    </row>
    <row r="414" spans="1:5" x14ac:dyDescent="0.3">
      <c r="A414" s="157">
        <v>44722</v>
      </c>
      <c r="B414" s="158">
        <v>23408.59</v>
      </c>
      <c r="C414"/>
      <c r="D414" s="160"/>
      <c r="E414" s="159"/>
    </row>
    <row r="415" spans="1:5" x14ac:dyDescent="0.3">
      <c r="A415" s="157">
        <v>44721</v>
      </c>
      <c r="B415" s="158">
        <v>23807.84</v>
      </c>
      <c r="C415"/>
      <c r="D415" s="160"/>
      <c r="E415" s="159"/>
    </row>
    <row r="416" spans="1:5" x14ac:dyDescent="0.3">
      <c r="A416" s="157">
        <v>44720</v>
      </c>
      <c r="B416" s="158">
        <v>23628.32</v>
      </c>
      <c r="C416"/>
      <c r="D416" s="160"/>
      <c r="E416" s="159"/>
    </row>
    <row r="417" spans="1:5" x14ac:dyDescent="0.3">
      <c r="A417" s="157">
        <v>44719</v>
      </c>
      <c r="B417" s="158">
        <v>23715.1</v>
      </c>
      <c r="C417"/>
      <c r="D417" s="160"/>
      <c r="E417" s="159"/>
    </row>
    <row r="418" spans="1:5" x14ac:dyDescent="0.3">
      <c r="A418" s="157">
        <v>44718</v>
      </c>
      <c r="B418" s="158">
        <v>23936.44</v>
      </c>
      <c r="C418"/>
      <c r="D418" s="160"/>
      <c r="E418" s="159"/>
    </row>
    <row r="419" spans="1:5" x14ac:dyDescent="0.3">
      <c r="A419" s="157">
        <v>44715</v>
      </c>
      <c r="B419" s="158">
        <v>23957.71</v>
      </c>
      <c r="C419"/>
      <c r="D419" s="160"/>
      <c r="E419" s="159"/>
    </row>
    <row r="420" spans="1:5" x14ac:dyDescent="0.3">
      <c r="A420" s="157">
        <v>44714</v>
      </c>
      <c r="B420" s="158">
        <v>24020.89</v>
      </c>
      <c r="C420"/>
      <c r="D420" s="160"/>
      <c r="E420" s="159"/>
    </row>
    <row r="421" spans="1:5" x14ac:dyDescent="0.3">
      <c r="A421" s="157">
        <v>44713</v>
      </c>
      <c r="B421" s="158">
        <v>23868.85</v>
      </c>
      <c r="C421"/>
      <c r="D421" s="160"/>
      <c r="E421" s="159"/>
    </row>
    <row r="422" spans="1:5" x14ac:dyDescent="0.3">
      <c r="A422" s="157">
        <v>44712</v>
      </c>
      <c r="B422" s="158">
        <v>23958.1</v>
      </c>
      <c r="C422"/>
      <c r="D422" s="160"/>
      <c r="E422" s="159"/>
    </row>
    <row r="423" spans="1:5" x14ac:dyDescent="0.3">
      <c r="A423" s="157">
        <v>44711</v>
      </c>
      <c r="B423" s="158">
        <v>24031.25</v>
      </c>
      <c r="C423"/>
      <c r="D423" s="160"/>
      <c r="E423" s="159"/>
    </row>
    <row r="424" spans="1:5" x14ac:dyDescent="0.3">
      <c r="A424" s="157">
        <v>44708</v>
      </c>
      <c r="B424" s="158">
        <v>23585.61</v>
      </c>
      <c r="C424"/>
      <c r="D424" s="160"/>
      <c r="E424" s="159"/>
    </row>
    <row r="425" spans="1:5" x14ac:dyDescent="0.3">
      <c r="A425" s="157">
        <v>44707</v>
      </c>
      <c r="B425" s="158">
        <v>23322.66</v>
      </c>
      <c r="C425"/>
      <c r="D425" s="160"/>
      <c r="E425" s="159"/>
    </row>
    <row r="426" spans="1:5" x14ac:dyDescent="0.3">
      <c r="A426" s="157">
        <v>44706</v>
      </c>
      <c r="B426" s="158">
        <v>23096.63</v>
      </c>
      <c r="C426"/>
      <c r="D426" s="160"/>
      <c r="E426" s="159"/>
    </row>
    <row r="427" spans="1:5" x14ac:dyDescent="0.3">
      <c r="A427" s="157">
        <v>44705</v>
      </c>
      <c r="B427" s="158">
        <v>23223.25</v>
      </c>
      <c r="C427"/>
      <c r="D427" s="160"/>
      <c r="E427" s="159"/>
    </row>
    <row r="428" spans="1:5" x14ac:dyDescent="0.3">
      <c r="A428" s="157">
        <v>44704</v>
      </c>
      <c r="B428" s="158">
        <v>23352.22</v>
      </c>
      <c r="C428"/>
      <c r="D428" s="160"/>
      <c r="E428" s="159"/>
    </row>
    <row r="429" spans="1:5" x14ac:dyDescent="0.3">
      <c r="A429" s="157">
        <v>44701</v>
      </c>
      <c r="B429" s="158">
        <v>23426.36</v>
      </c>
      <c r="C429"/>
      <c r="D429" s="160"/>
      <c r="E429" s="159"/>
    </row>
    <row r="430" spans="1:5" x14ac:dyDescent="0.3">
      <c r="A430" s="157">
        <v>44700</v>
      </c>
      <c r="B430" s="158">
        <v>22768.49</v>
      </c>
      <c r="C430"/>
      <c r="D430" s="160"/>
      <c r="E430" s="159"/>
    </row>
    <row r="431" spans="1:5" x14ac:dyDescent="0.3">
      <c r="A431" s="157">
        <v>44699</v>
      </c>
      <c r="B431" s="158">
        <v>23389.07</v>
      </c>
      <c r="C431"/>
      <c r="D431" s="160"/>
      <c r="E431" s="159"/>
    </row>
    <row r="432" spans="1:5" x14ac:dyDescent="0.3">
      <c r="A432" s="157">
        <v>44698</v>
      </c>
      <c r="B432" s="158">
        <v>23416.46</v>
      </c>
      <c r="C432"/>
      <c r="D432" s="160"/>
      <c r="E432" s="159"/>
    </row>
    <row r="433" spans="1:5" x14ac:dyDescent="0.3">
      <c r="A433" s="157">
        <v>44697</v>
      </c>
      <c r="B433" s="158">
        <v>22815.88</v>
      </c>
      <c r="C433"/>
      <c r="D433" s="160"/>
      <c r="E433" s="159"/>
    </row>
    <row r="434" spans="1:5" x14ac:dyDescent="0.3">
      <c r="A434" s="157">
        <v>44694</v>
      </c>
      <c r="B434" s="158">
        <v>22729.279999999999</v>
      </c>
      <c r="C434"/>
      <c r="D434" s="160"/>
      <c r="E434" s="159"/>
    </row>
    <row r="435" spans="1:5" x14ac:dyDescent="0.3">
      <c r="A435" s="157">
        <v>44693</v>
      </c>
      <c r="B435" s="158">
        <v>22766.52</v>
      </c>
      <c r="C435"/>
      <c r="D435" s="160"/>
      <c r="E435" s="159"/>
    </row>
    <row r="436" spans="1:5" x14ac:dyDescent="0.3">
      <c r="A436" s="157">
        <v>44692</v>
      </c>
      <c r="B436" s="158">
        <v>23260.85</v>
      </c>
      <c r="C436"/>
      <c r="D436" s="160"/>
      <c r="E436" s="159"/>
    </row>
    <row r="437" spans="1:5" x14ac:dyDescent="0.3">
      <c r="A437" s="157">
        <v>44691</v>
      </c>
      <c r="B437" s="158">
        <v>23365.81</v>
      </c>
      <c r="C437"/>
      <c r="D437" s="160"/>
      <c r="E437" s="159"/>
    </row>
    <row r="438" spans="1:5" x14ac:dyDescent="0.3">
      <c r="A438" s="157">
        <v>44690</v>
      </c>
      <c r="B438" s="158">
        <v>23454.71</v>
      </c>
      <c r="C438"/>
      <c r="D438" s="160"/>
      <c r="E438" s="159"/>
    </row>
    <row r="439" spans="1:5" x14ac:dyDescent="0.3">
      <c r="A439" s="157">
        <v>44687</v>
      </c>
      <c r="B439" s="158">
        <v>23612.16</v>
      </c>
      <c r="C439"/>
      <c r="D439" s="160"/>
      <c r="E439" s="159"/>
    </row>
    <row r="440" spans="1:5" x14ac:dyDescent="0.3">
      <c r="A440" s="157">
        <v>44686</v>
      </c>
      <c r="B440" s="158">
        <v>24002.58</v>
      </c>
      <c r="C440"/>
      <c r="D440" s="160"/>
      <c r="E440" s="159"/>
    </row>
    <row r="441" spans="1:5" x14ac:dyDescent="0.3">
      <c r="A441" s="157">
        <v>44685</v>
      </c>
      <c r="B441" s="158">
        <v>23995.35</v>
      </c>
      <c r="C441"/>
      <c r="D441" s="160"/>
      <c r="E441" s="159"/>
    </row>
    <row r="442" spans="1:5" x14ac:dyDescent="0.3">
      <c r="A442" s="157">
        <v>44683</v>
      </c>
      <c r="B442" s="158">
        <v>24558.61</v>
      </c>
      <c r="C442"/>
      <c r="D442" s="160"/>
      <c r="E442" s="159"/>
    </row>
    <row r="443" spans="1:5" x14ac:dyDescent="0.3">
      <c r="A443" s="157">
        <v>44680</v>
      </c>
      <c r="B443" s="158">
        <v>24606.78</v>
      </c>
      <c r="C443"/>
      <c r="D443" s="160"/>
      <c r="E443" s="159"/>
    </row>
    <row r="444" spans="1:5" x14ac:dyDescent="0.3">
      <c r="A444" s="157">
        <v>44679</v>
      </c>
      <c r="B444" s="158">
        <v>24811.78</v>
      </c>
      <c r="C444"/>
      <c r="D444" s="160"/>
      <c r="E444" s="159"/>
    </row>
    <row r="445" spans="1:5" x14ac:dyDescent="0.3">
      <c r="A445" s="157">
        <v>44678</v>
      </c>
      <c r="B445" s="158">
        <v>24508.3</v>
      </c>
      <c r="C445"/>
      <c r="D445" s="160"/>
      <c r="E445" s="159"/>
    </row>
    <row r="446" spans="1:5" x14ac:dyDescent="0.3">
      <c r="A446" s="157">
        <v>44677</v>
      </c>
      <c r="B446" s="158">
        <v>24741.88</v>
      </c>
      <c r="C446"/>
      <c r="D446" s="160"/>
      <c r="E446" s="159"/>
    </row>
    <row r="447" spans="1:5" x14ac:dyDescent="0.3">
      <c r="A447" s="157">
        <v>44676</v>
      </c>
      <c r="B447" s="158">
        <v>24386.78</v>
      </c>
      <c r="C447"/>
      <c r="D447" s="160"/>
      <c r="E447" s="159"/>
    </row>
    <row r="448" spans="1:5" x14ac:dyDescent="0.3">
      <c r="A448" s="157">
        <v>44673</v>
      </c>
      <c r="B448" s="158">
        <v>24700.36</v>
      </c>
      <c r="C448"/>
      <c r="D448" s="160"/>
      <c r="E448" s="159"/>
    </row>
    <row r="449" spans="1:5" x14ac:dyDescent="0.3">
      <c r="A449" s="157">
        <v>44672</v>
      </c>
      <c r="B449" s="158">
        <v>25017.73</v>
      </c>
      <c r="C449"/>
      <c r="D449" s="160"/>
      <c r="E449" s="159"/>
    </row>
    <row r="450" spans="1:5" x14ac:dyDescent="0.3">
      <c r="A450" s="157">
        <v>44671</v>
      </c>
      <c r="B450" s="158">
        <v>24648.400000000001</v>
      </c>
      <c r="C450"/>
      <c r="D450" s="160"/>
      <c r="E450" s="159"/>
    </row>
    <row r="451" spans="1:5" x14ac:dyDescent="0.3">
      <c r="A451" s="157">
        <v>44670</v>
      </c>
      <c r="B451" s="158">
        <v>24392.54</v>
      </c>
      <c r="C451"/>
      <c r="D451" s="160"/>
      <c r="E451" s="159"/>
    </row>
    <row r="452" spans="1:5" x14ac:dyDescent="0.3">
      <c r="A452" s="157">
        <v>44669</v>
      </c>
      <c r="B452" s="158">
        <v>24701.75</v>
      </c>
      <c r="C452"/>
      <c r="D452" s="160"/>
      <c r="E452" s="159"/>
    </row>
    <row r="453" spans="1:5" x14ac:dyDescent="0.3">
      <c r="A453" s="157">
        <v>44664</v>
      </c>
      <c r="B453" s="158">
        <v>25136.13</v>
      </c>
      <c r="C453"/>
      <c r="D453" s="160"/>
      <c r="E453" s="159"/>
    </row>
    <row r="454" spans="1:5" x14ac:dyDescent="0.3">
      <c r="A454" s="157">
        <v>44663</v>
      </c>
      <c r="B454" s="158">
        <v>25214.76</v>
      </c>
      <c r="C454"/>
      <c r="D454" s="160"/>
      <c r="E454" s="159"/>
    </row>
    <row r="455" spans="1:5" x14ac:dyDescent="0.3">
      <c r="A455" s="157">
        <v>44662</v>
      </c>
      <c r="B455" s="158">
        <v>25422.81</v>
      </c>
      <c r="C455"/>
      <c r="D455" s="160"/>
      <c r="E455" s="159"/>
    </row>
    <row r="456" spans="1:5" x14ac:dyDescent="0.3">
      <c r="A456" s="157">
        <v>44659</v>
      </c>
      <c r="B456" s="158">
        <v>25580.15</v>
      </c>
      <c r="C456"/>
      <c r="D456" s="160"/>
      <c r="E456" s="159"/>
    </row>
    <row r="457" spans="1:5" x14ac:dyDescent="0.3">
      <c r="A457" s="157">
        <v>44658</v>
      </c>
      <c r="B457" s="158">
        <v>25371.88</v>
      </c>
      <c r="C457"/>
      <c r="D457" s="160"/>
      <c r="E457" s="159"/>
    </row>
    <row r="458" spans="1:5" x14ac:dyDescent="0.3">
      <c r="A458" s="157">
        <v>44657</v>
      </c>
      <c r="B458" s="158">
        <v>25613.71</v>
      </c>
      <c r="C458"/>
      <c r="D458" s="160"/>
      <c r="E458" s="159"/>
    </row>
    <row r="459" spans="1:5" x14ac:dyDescent="0.3">
      <c r="A459" s="157">
        <v>44656</v>
      </c>
      <c r="B459" s="158">
        <v>25829.11</v>
      </c>
      <c r="C459"/>
      <c r="D459" s="160"/>
      <c r="E459" s="159"/>
    </row>
    <row r="460" spans="1:5" x14ac:dyDescent="0.3">
      <c r="A460" s="157">
        <v>44655</v>
      </c>
      <c r="B460" s="158">
        <v>25964.720000000001</v>
      </c>
      <c r="C460"/>
      <c r="D460" s="160"/>
      <c r="E460" s="159"/>
    </row>
    <row r="461" spans="1:5" x14ac:dyDescent="0.3">
      <c r="A461" s="157">
        <v>44652</v>
      </c>
      <c r="B461" s="158">
        <v>25413.94</v>
      </c>
      <c r="C461"/>
      <c r="D461" s="160"/>
      <c r="E461" s="159"/>
    </row>
    <row r="462" spans="1:5" x14ac:dyDescent="0.3">
      <c r="A462" s="157">
        <v>44651</v>
      </c>
      <c r="B462" s="158">
        <v>25118.14</v>
      </c>
      <c r="C462"/>
      <c r="D462" s="160"/>
      <c r="E462" s="159"/>
    </row>
    <row r="463" spans="1:5" x14ac:dyDescent="0.3">
      <c r="A463" s="157">
        <v>44650</v>
      </c>
      <c r="B463" s="158">
        <v>25166.31</v>
      </c>
      <c r="C463"/>
      <c r="D463" s="160"/>
      <c r="E463" s="159"/>
    </row>
    <row r="464" spans="1:5" x14ac:dyDescent="0.3">
      <c r="A464" s="157">
        <v>44649</v>
      </c>
      <c r="B464" s="158">
        <v>24917.57</v>
      </c>
      <c r="C464"/>
      <c r="D464" s="160"/>
      <c r="E464" s="159"/>
    </row>
    <row r="465" spans="1:5" x14ac:dyDescent="0.3">
      <c r="A465" s="157">
        <v>44648</v>
      </c>
      <c r="B465" s="158">
        <v>24768.69</v>
      </c>
      <c r="C465"/>
      <c r="D465" s="160"/>
      <c r="E465" s="159"/>
    </row>
    <row r="466" spans="1:5" x14ac:dyDescent="0.3">
      <c r="A466" s="157">
        <v>44645</v>
      </c>
      <c r="B466" s="158">
        <v>24669.45</v>
      </c>
      <c r="C466"/>
      <c r="D466" s="160"/>
      <c r="E466" s="159"/>
    </row>
    <row r="467" spans="1:5" x14ac:dyDescent="0.3">
      <c r="A467" s="157">
        <v>44644</v>
      </c>
      <c r="B467" s="158">
        <v>24769.75</v>
      </c>
      <c r="C467"/>
      <c r="D467" s="160"/>
      <c r="E467" s="159"/>
    </row>
    <row r="468" spans="1:5" x14ac:dyDescent="0.3">
      <c r="A468" s="157">
        <v>44643</v>
      </c>
      <c r="B468" s="158">
        <v>24802.74</v>
      </c>
      <c r="C468"/>
      <c r="D468" s="160"/>
      <c r="E468" s="159"/>
    </row>
    <row r="469" spans="1:5" x14ac:dyDescent="0.3">
      <c r="A469" s="157">
        <v>44642</v>
      </c>
      <c r="B469" s="158">
        <v>24903.14</v>
      </c>
      <c r="C469"/>
      <c r="D469" s="160"/>
      <c r="E469" s="159"/>
    </row>
    <row r="470" spans="1:5" x14ac:dyDescent="0.3">
      <c r="A470" s="157">
        <v>44641</v>
      </c>
      <c r="B470" s="158">
        <v>24618.52</v>
      </c>
      <c r="C470"/>
      <c r="D470" s="160"/>
      <c r="E470" s="159"/>
    </row>
    <row r="471" spans="1:5" x14ac:dyDescent="0.3">
      <c r="A471" s="157">
        <v>44637</v>
      </c>
      <c r="B471" s="158">
        <v>24862.27</v>
      </c>
      <c r="C471"/>
      <c r="D471" s="160"/>
      <c r="E471" s="159"/>
    </row>
    <row r="472" spans="1:5" x14ac:dyDescent="0.3">
      <c r="A472" s="157">
        <v>44636</v>
      </c>
      <c r="B472" s="158">
        <v>24414</v>
      </c>
      <c r="C472"/>
      <c r="D472" s="160"/>
      <c r="E472" s="159"/>
    </row>
    <row r="473" spans="1:5" x14ac:dyDescent="0.3">
      <c r="A473" s="157">
        <v>44635</v>
      </c>
      <c r="B473" s="158">
        <v>23964.720000000001</v>
      </c>
      <c r="C473"/>
      <c r="D473" s="160"/>
      <c r="E473" s="159"/>
    </row>
    <row r="474" spans="1:5" x14ac:dyDescent="0.3">
      <c r="A474" s="157">
        <v>44634</v>
      </c>
      <c r="B474" s="158">
        <v>24264.29</v>
      </c>
      <c r="C474"/>
      <c r="D474" s="160"/>
      <c r="E474" s="159"/>
    </row>
    <row r="475" spans="1:5" x14ac:dyDescent="0.3">
      <c r="A475" s="157">
        <v>44631</v>
      </c>
      <c r="B475" s="158">
        <v>23917.96</v>
      </c>
      <c r="C475"/>
      <c r="D475" s="160"/>
      <c r="E475" s="159"/>
    </row>
    <row r="476" spans="1:5" x14ac:dyDescent="0.3">
      <c r="A476" s="157">
        <v>44630</v>
      </c>
      <c r="B476" s="158">
        <v>23866.77</v>
      </c>
      <c r="C476"/>
      <c r="D476" s="160"/>
      <c r="E476" s="159"/>
    </row>
    <row r="477" spans="1:5" x14ac:dyDescent="0.3">
      <c r="A477" s="157">
        <v>44629</v>
      </c>
      <c r="B477" s="158">
        <v>23507.87</v>
      </c>
      <c r="C477"/>
      <c r="D477" s="160"/>
      <c r="E477" s="159"/>
    </row>
    <row r="478" spans="1:5" x14ac:dyDescent="0.3">
      <c r="A478" s="157">
        <v>44628</v>
      </c>
      <c r="B478" s="158">
        <v>23030.560000000001</v>
      </c>
      <c r="C478"/>
      <c r="D478" s="160"/>
      <c r="E478" s="159"/>
    </row>
    <row r="479" spans="1:5" x14ac:dyDescent="0.3">
      <c r="A479" s="157">
        <v>44627</v>
      </c>
      <c r="B479" s="158">
        <v>22814.41</v>
      </c>
      <c r="C479"/>
      <c r="D479" s="160"/>
      <c r="E479" s="159"/>
    </row>
    <row r="480" spans="1:5" x14ac:dyDescent="0.3">
      <c r="A480" s="157">
        <v>44624</v>
      </c>
      <c r="B480" s="158">
        <v>23364.07</v>
      </c>
      <c r="C480"/>
      <c r="D480" s="160"/>
      <c r="E480" s="159"/>
    </row>
    <row r="481" spans="1:5" x14ac:dyDescent="0.3">
      <c r="A481" s="157">
        <v>44623</v>
      </c>
      <c r="B481" s="158">
        <v>23727.54</v>
      </c>
      <c r="C481"/>
      <c r="D481" s="160"/>
      <c r="E481" s="159"/>
    </row>
    <row r="482" spans="1:5" x14ac:dyDescent="0.3">
      <c r="A482" s="157">
        <v>44622</v>
      </c>
      <c r="B482" s="158">
        <v>23882.720000000001</v>
      </c>
      <c r="C482"/>
      <c r="D482" s="160"/>
      <c r="E482" s="159"/>
    </row>
    <row r="483" spans="1:5" x14ac:dyDescent="0.3">
      <c r="A483" s="157">
        <v>44620</v>
      </c>
      <c r="B483" s="158">
        <v>24153.01</v>
      </c>
      <c r="C483"/>
      <c r="D483" s="160"/>
      <c r="E483" s="159"/>
    </row>
    <row r="484" spans="1:5" x14ac:dyDescent="0.3">
      <c r="A484" s="157">
        <v>44617</v>
      </c>
      <c r="B484" s="158">
        <v>23958.1</v>
      </c>
      <c r="C484"/>
      <c r="D484" s="160"/>
      <c r="E484" s="159"/>
    </row>
    <row r="485" spans="1:5" x14ac:dyDescent="0.3">
      <c r="A485" s="157">
        <v>44616</v>
      </c>
      <c r="B485" s="158">
        <v>23367.85</v>
      </c>
      <c r="C485"/>
      <c r="D485" s="160"/>
      <c r="E485" s="159"/>
    </row>
    <row r="486" spans="1:5" x14ac:dyDescent="0.3">
      <c r="A486" s="157">
        <v>44615</v>
      </c>
      <c r="B486" s="158">
        <v>24540.41</v>
      </c>
      <c r="C486"/>
      <c r="D486" s="160"/>
      <c r="E486" s="159"/>
    </row>
    <row r="487" spans="1:5" x14ac:dyDescent="0.3">
      <c r="A487" s="157">
        <v>44614</v>
      </c>
      <c r="B487" s="158">
        <v>24582.05</v>
      </c>
      <c r="C487"/>
      <c r="D487" s="160"/>
      <c r="E487" s="159"/>
    </row>
    <row r="488" spans="1:5" x14ac:dyDescent="0.3">
      <c r="A488" s="157">
        <v>44613</v>
      </c>
      <c r="B488" s="158">
        <v>24746.59</v>
      </c>
      <c r="C488"/>
      <c r="D488" s="160"/>
      <c r="E488" s="159"/>
    </row>
    <row r="489" spans="1:5" x14ac:dyDescent="0.3">
      <c r="A489" s="157">
        <v>44610</v>
      </c>
      <c r="B489" s="158">
        <v>24838.68</v>
      </c>
      <c r="C489"/>
      <c r="D489" s="160"/>
      <c r="E489" s="159"/>
    </row>
    <row r="490" spans="1:5" x14ac:dyDescent="0.3">
      <c r="A490" s="157">
        <v>44609</v>
      </c>
      <c r="B490" s="158">
        <v>24879.32</v>
      </c>
      <c r="C490"/>
      <c r="D490" s="160"/>
      <c r="E490" s="159"/>
    </row>
    <row r="491" spans="1:5" x14ac:dyDescent="0.3">
      <c r="A491" s="157">
        <v>44608</v>
      </c>
      <c r="B491" s="158">
        <v>24904.67</v>
      </c>
      <c r="C491"/>
      <c r="D491" s="160"/>
      <c r="E491" s="159"/>
    </row>
    <row r="492" spans="1:5" x14ac:dyDescent="0.3">
      <c r="A492" s="157">
        <v>44607</v>
      </c>
      <c r="B492" s="158">
        <v>24941.93</v>
      </c>
      <c r="C492"/>
      <c r="D492" s="160"/>
      <c r="E492" s="159"/>
    </row>
    <row r="493" spans="1:5" x14ac:dyDescent="0.3">
      <c r="A493" s="157">
        <v>44606</v>
      </c>
      <c r="B493" s="158">
        <v>24209.38</v>
      </c>
      <c r="C493"/>
      <c r="D493" s="160"/>
      <c r="E493" s="159"/>
    </row>
    <row r="494" spans="1:5" x14ac:dyDescent="0.3">
      <c r="A494" s="157">
        <v>44603</v>
      </c>
      <c r="B494" s="158">
        <v>24958.45</v>
      </c>
      <c r="C494"/>
      <c r="D494" s="160"/>
      <c r="E494" s="159"/>
    </row>
    <row r="495" spans="1:5" x14ac:dyDescent="0.3">
      <c r="A495" s="157">
        <v>44602</v>
      </c>
      <c r="B495" s="158">
        <v>25290.42</v>
      </c>
      <c r="C495"/>
      <c r="D495" s="160"/>
      <c r="E495" s="159"/>
    </row>
    <row r="496" spans="1:5" x14ac:dyDescent="0.3">
      <c r="A496" s="157">
        <v>44601</v>
      </c>
      <c r="B496" s="158">
        <v>25084.6</v>
      </c>
      <c r="C496"/>
      <c r="D496" s="160"/>
      <c r="E496" s="159"/>
    </row>
    <row r="497" spans="1:5" x14ac:dyDescent="0.3">
      <c r="A497" s="157">
        <v>44600</v>
      </c>
      <c r="B497" s="158">
        <v>24795.759999999998</v>
      </c>
      <c r="C497"/>
      <c r="D497" s="160"/>
      <c r="E497" s="159"/>
    </row>
    <row r="498" spans="1:5" x14ac:dyDescent="0.3">
      <c r="A498" s="157">
        <v>44599</v>
      </c>
      <c r="B498" s="158">
        <v>24719.45</v>
      </c>
      <c r="C498"/>
      <c r="D498" s="160"/>
      <c r="E498" s="159"/>
    </row>
    <row r="499" spans="1:5" x14ac:dyDescent="0.3">
      <c r="A499" s="157">
        <v>44596</v>
      </c>
      <c r="B499" s="158">
        <v>25154.14</v>
      </c>
      <c r="C499"/>
      <c r="D499" s="160"/>
      <c r="E499" s="159"/>
    </row>
    <row r="500" spans="1:5" x14ac:dyDescent="0.3">
      <c r="A500" s="157">
        <v>44595</v>
      </c>
      <c r="B500" s="158">
        <v>25217.200000000001</v>
      </c>
      <c r="C500"/>
      <c r="D500" s="160"/>
      <c r="E500" s="159"/>
    </row>
    <row r="501" spans="1:5" x14ac:dyDescent="0.3">
      <c r="A501" s="157">
        <v>44594</v>
      </c>
      <c r="B501" s="158">
        <v>25526.55</v>
      </c>
      <c r="C501"/>
      <c r="D501" s="160"/>
      <c r="E501" s="159"/>
    </row>
    <row r="502" spans="1:5" x14ac:dyDescent="0.3">
      <c r="A502" s="157">
        <v>44593</v>
      </c>
      <c r="B502" s="158">
        <v>25234.89</v>
      </c>
      <c r="C502"/>
      <c r="D502" s="160"/>
      <c r="E502" s="159"/>
    </row>
    <row r="503" spans="1:5" x14ac:dyDescent="0.3">
      <c r="A503" s="157">
        <v>44592</v>
      </c>
      <c r="B503" s="158">
        <v>24894.62</v>
      </c>
      <c r="C503"/>
      <c r="D503" s="160"/>
      <c r="E503" s="159"/>
    </row>
    <row r="504" spans="1:5" x14ac:dyDescent="0.3">
      <c r="A504" s="157">
        <v>44589</v>
      </c>
      <c r="B504" s="158">
        <v>24553.040000000001</v>
      </c>
      <c r="C504"/>
      <c r="D504" s="160"/>
      <c r="E504" s="159"/>
    </row>
    <row r="505" spans="1:5" x14ac:dyDescent="0.3">
      <c r="A505" s="157">
        <v>44588</v>
      </c>
      <c r="B505" s="158">
        <v>24564.81</v>
      </c>
      <c r="C505"/>
      <c r="D505" s="160"/>
      <c r="E505" s="159"/>
    </row>
    <row r="506" spans="1:5" x14ac:dyDescent="0.3">
      <c r="A506" s="157">
        <v>44586</v>
      </c>
      <c r="B506" s="158">
        <v>24805.75</v>
      </c>
      <c r="C506"/>
      <c r="D506" s="160"/>
      <c r="E506" s="159"/>
    </row>
    <row r="507" spans="1:5" x14ac:dyDescent="0.3">
      <c r="A507" s="157">
        <v>44585</v>
      </c>
      <c r="B507" s="158">
        <v>24620.720000000001</v>
      </c>
      <c r="C507"/>
      <c r="D507" s="160"/>
      <c r="E507" s="159"/>
    </row>
    <row r="508" spans="1:5" x14ac:dyDescent="0.3">
      <c r="A508" s="157">
        <v>44582</v>
      </c>
      <c r="B508" s="158">
        <v>25292.720000000001</v>
      </c>
      <c r="C508"/>
      <c r="D508" s="160"/>
      <c r="E508" s="159"/>
    </row>
    <row r="509" spans="1:5" x14ac:dyDescent="0.3">
      <c r="A509" s="157">
        <v>44581</v>
      </c>
      <c r="B509" s="158">
        <v>25492.99</v>
      </c>
      <c r="C509"/>
      <c r="D509" s="160"/>
      <c r="E509" s="159"/>
    </row>
    <row r="510" spans="1:5" x14ac:dyDescent="0.3">
      <c r="A510" s="157">
        <v>44580</v>
      </c>
      <c r="B510" s="158">
        <v>25749.81</v>
      </c>
      <c r="C510"/>
      <c r="D510" s="160"/>
      <c r="E510" s="159"/>
    </row>
    <row r="511" spans="1:5" x14ac:dyDescent="0.3">
      <c r="A511" s="157">
        <v>44579</v>
      </c>
      <c r="B511" s="158">
        <v>25998.14</v>
      </c>
      <c r="C511"/>
      <c r="D511" s="160"/>
      <c r="E511" s="159"/>
    </row>
    <row r="512" spans="1:5" x14ac:dyDescent="0.3">
      <c r="A512" s="157">
        <v>44578</v>
      </c>
      <c r="B512" s="158">
        <v>26278.07</v>
      </c>
      <c r="C512"/>
      <c r="D512" s="160"/>
      <c r="E512" s="159"/>
    </row>
    <row r="513" spans="1:5" x14ac:dyDescent="0.3">
      <c r="A513" s="157">
        <v>44575</v>
      </c>
      <c r="B513" s="158">
        <v>26202.97</v>
      </c>
      <c r="C513"/>
      <c r="D513" s="160"/>
      <c r="E513" s="159"/>
    </row>
    <row r="514" spans="1:5" x14ac:dyDescent="0.3">
      <c r="A514" s="157">
        <v>44574</v>
      </c>
      <c r="B514" s="158">
        <v>26205.87</v>
      </c>
      <c r="C514"/>
      <c r="D514" s="160"/>
      <c r="E514" s="159"/>
    </row>
    <row r="515" spans="1:5" x14ac:dyDescent="0.3">
      <c r="A515" s="157">
        <v>44573</v>
      </c>
      <c r="B515" s="158">
        <v>26140.68</v>
      </c>
      <c r="C515"/>
      <c r="D515" s="160"/>
      <c r="E515" s="159"/>
    </row>
    <row r="516" spans="1:5" x14ac:dyDescent="0.3">
      <c r="A516" s="157">
        <v>44572</v>
      </c>
      <c r="B516" s="158">
        <v>25915.89</v>
      </c>
      <c r="C516"/>
      <c r="D516" s="160"/>
      <c r="E516" s="159"/>
    </row>
    <row r="517" spans="1:5" x14ac:dyDescent="0.3">
      <c r="A517" s="157">
        <v>44571</v>
      </c>
      <c r="B517" s="158">
        <v>25840.62</v>
      </c>
      <c r="C517"/>
      <c r="D517" s="160"/>
      <c r="E517" s="159"/>
    </row>
    <row r="518" spans="1:5" x14ac:dyDescent="0.3">
      <c r="A518" s="157">
        <v>44568</v>
      </c>
      <c r="B518" s="158">
        <v>25567.06</v>
      </c>
      <c r="C518"/>
      <c r="D518" s="160"/>
      <c r="E518" s="159"/>
    </row>
    <row r="519" spans="1:5" x14ac:dyDescent="0.3">
      <c r="A519" s="157">
        <v>44567</v>
      </c>
      <c r="B519" s="158">
        <v>25471.18</v>
      </c>
      <c r="C519"/>
      <c r="D519" s="160"/>
      <c r="E519" s="159"/>
    </row>
    <row r="520" spans="1:5" x14ac:dyDescent="0.3">
      <c r="A520" s="157">
        <v>44566</v>
      </c>
      <c r="B520" s="158">
        <v>25728.58</v>
      </c>
      <c r="C520"/>
      <c r="D520" s="160"/>
      <c r="E520" s="159"/>
    </row>
    <row r="521" spans="1:5" x14ac:dyDescent="0.3">
      <c r="A521" s="157">
        <v>44565</v>
      </c>
      <c r="B521" s="158">
        <v>25556.34</v>
      </c>
      <c r="C521"/>
      <c r="D521" s="160"/>
      <c r="E521" s="159"/>
    </row>
    <row r="522" spans="1:5" x14ac:dyDescent="0.3">
      <c r="A522" s="157">
        <v>44564</v>
      </c>
      <c r="B522" s="158">
        <v>25298.63</v>
      </c>
      <c r="C522"/>
      <c r="D522" s="160"/>
      <c r="E522" s="159"/>
    </row>
    <row r="523" spans="1:5" x14ac:dyDescent="0.3">
      <c r="A523" s="157">
        <v>44561</v>
      </c>
      <c r="B523" s="158">
        <v>24908.71</v>
      </c>
      <c r="C523"/>
      <c r="D523" s="160"/>
      <c r="E523" s="159"/>
    </row>
    <row r="524" spans="1:5" x14ac:dyDescent="0.3">
      <c r="A524" s="157">
        <v>44560</v>
      </c>
      <c r="B524" s="158">
        <v>24693.25</v>
      </c>
      <c r="C524"/>
      <c r="D524" s="160"/>
      <c r="E524" s="159"/>
    </row>
    <row r="525" spans="1:5" x14ac:dyDescent="0.3">
      <c r="A525" s="157">
        <v>44559</v>
      </c>
      <c r="B525" s="158">
        <v>24707.1</v>
      </c>
      <c r="C525"/>
      <c r="D525" s="160"/>
      <c r="E525" s="159"/>
    </row>
    <row r="526" spans="1:5" x14ac:dyDescent="0.3">
      <c r="A526" s="157">
        <v>44558</v>
      </c>
      <c r="B526" s="158">
        <v>24735.32</v>
      </c>
      <c r="C526"/>
      <c r="D526" s="160"/>
      <c r="E526" s="159"/>
    </row>
    <row r="527" spans="1:5" x14ac:dyDescent="0.3">
      <c r="A527" s="157">
        <v>44557</v>
      </c>
      <c r="B527" s="158">
        <v>24524.36</v>
      </c>
      <c r="C527"/>
      <c r="D527" s="160"/>
      <c r="E527" s="159"/>
    </row>
    <row r="528" spans="1:5" x14ac:dyDescent="0.3">
      <c r="A528" s="157">
        <v>44554</v>
      </c>
      <c r="B528" s="158">
        <v>24405.96</v>
      </c>
      <c r="C528"/>
      <c r="D528" s="160"/>
      <c r="E528" s="159"/>
    </row>
    <row r="529" spans="1:5" x14ac:dyDescent="0.3">
      <c r="A529" s="157">
        <v>44553</v>
      </c>
      <c r="B529" s="158">
        <v>24504.75</v>
      </c>
      <c r="C529"/>
      <c r="D529" s="160"/>
      <c r="E529" s="159"/>
    </row>
    <row r="530" spans="1:5" x14ac:dyDescent="0.3">
      <c r="A530" s="157">
        <v>44552</v>
      </c>
      <c r="B530" s="158">
        <v>24336.62</v>
      </c>
      <c r="C530"/>
      <c r="D530" s="160"/>
      <c r="E530" s="159"/>
    </row>
    <row r="531" spans="1:5" x14ac:dyDescent="0.3">
      <c r="A531" s="157">
        <v>44551</v>
      </c>
      <c r="B531" s="158">
        <v>24063.78</v>
      </c>
      <c r="C531"/>
      <c r="D531" s="160"/>
      <c r="E531" s="159"/>
    </row>
    <row r="532" spans="1:5" x14ac:dyDescent="0.3">
      <c r="A532" s="157">
        <v>44550</v>
      </c>
      <c r="B532" s="158">
        <v>23839.01</v>
      </c>
      <c r="C532"/>
      <c r="D532" s="160"/>
      <c r="E532" s="159"/>
    </row>
    <row r="533" spans="1:5" x14ac:dyDescent="0.3">
      <c r="A533" s="157">
        <v>44547</v>
      </c>
      <c r="B533" s="158">
        <v>24371.37</v>
      </c>
      <c r="C533"/>
      <c r="D533" s="160"/>
      <c r="E533" s="159"/>
    </row>
    <row r="534" spans="1:5" x14ac:dyDescent="0.3">
      <c r="A534" s="157">
        <v>44546</v>
      </c>
      <c r="B534" s="158">
        <v>24749.01</v>
      </c>
      <c r="C534"/>
      <c r="D534" s="160"/>
      <c r="E534" s="159"/>
    </row>
    <row r="535" spans="1:5" x14ac:dyDescent="0.3">
      <c r="A535" s="157">
        <v>44545</v>
      </c>
      <c r="B535" s="158">
        <v>24710.3</v>
      </c>
      <c r="C535"/>
      <c r="D535" s="160"/>
      <c r="E535" s="159"/>
    </row>
    <row r="536" spans="1:5" x14ac:dyDescent="0.3">
      <c r="A536" s="157">
        <v>44544</v>
      </c>
      <c r="B536" s="158">
        <v>24858.79</v>
      </c>
      <c r="C536"/>
      <c r="D536" s="160"/>
      <c r="E536" s="159"/>
    </row>
    <row r="537" spans="1:5" x14ac:dyDescent="0.3">
      <c r="A537" s="157">
        <v>44543</v>
      </c>
      <c r="B537" s="158">
        <v>24921.02</v>
      </c>
      <c r="C537"/>
      <c r="D537" s="160"/>
      <c r="E537" s="159"/>
    </row>
    <row r="538" spans="1:5" x14ac:dyDescent="0.3">
      <c r="A538" s="157">
        <v>44540</v>
      </c>
      <c r="B538" s="158">
        <v>25126.240000000002</v>
      </c>
      <c r="C538"/>
      <c r="D538" s="160"/>
      <c r="E538" s="159"/>
    </row>
    <row r="539" spans="1:5" x14ac:dyDescent="0.3">
      <c r="A539" s="157">
        <v>44539</v>
      </c>
      <c r="B539" s="158">
        <v>25134.23</v>
      </c>
      <c r="C539"/>
      <c r="D539" s="160"/>
      <c r="E539" s="159"/>
    </row>
    <row r="540" spans="1:5" x14ac:dyDescent="0.3">
      <c r="A540" s="157">
        <v>44538</v>
      </c>
      <c r="B540" s="158">
        <v>25066.62</v>
      </c>
      <c r="C540"/>
      <c r="D540" s="160"/>
      <c r="E540" s="159"/>
    </row>
    <row r="541" spans="1:5" x14ac:dyDescent="0.3">
      <c r="A541" s="157">
        <v>44537</v>
      </c>
      <c r="B541" s="158">
        <v>24646.18</v>
      </c>
      <c r="C541"/>
      <c r="D541" s="160"/>
      <c r="E541" s="159"/>
    </row>
    <row r="542" spans="1:5" x14ac:dyDescent="0.3">
      <c r="A542" s="157">
        <v>44536</v>
      </c>
      <c r="B542" s="158">
        <v>24266.71</v>
      </c>
      <c r="C542"/>
      <c r="D542" s="160"/>
      <c r="E542" s="159"/>
    </row>
    <row r="543" spans="1:5" x14ac:dyDescent="0.3">
      <c r="A543" s="157">
        <v>44533</v>
      </c>
      <c r="B543" s="158">
        <v>24674.83</v>
      </c>
      <c r="C543"/>
      <c r="D543" s="160"/>
      <c r="E543" s="159"/>
    </row>
    <row r="544" spans="1:5" x14ac:dyDescent="0.3">
      <c r="A544" s="157">
        <v>44532</v>
      </c>
      <c r="B544" s="158">
        <v>24968.91</v>
      </c>
      <c r="C544"/>
      <c r="D544" s="160"/>
      <c r="E544" s="159"/>
    </row>
    <row r="545" spans="1:5" x14ac:dyDescent="0.3">
      <c r="A545" s="157">
        <v>44531</v>
      </c>
      <c r="B545" s="158">
        <v>24632.06</v>
      </c>
      <c r="C545"/>
      <c r="D545" s="160"/>
      <c r="E545" s="159"/>
    </row>
    <row r="546" spans="1:5" x14ac:dyDescent="0.3">
      <c r="A546" s="157">
        <v>44530</v>
      </c>
      <c r="B546" s="158">
        <v>24368.53</v>
      </c>
      <c r="C546"/>
      <c r="D546" s="160"/>
      <c r="E546" s="159"/>
    </row>
    <row r="547" spans="1:5" x14ac:dyDescent="0.3">
      <c r="A547" s="157">
        <v>44529</v>
      </c>
      <c r="B547" s="158">
        <v>24469.99</v>
      </c>
      <c r="C547"/>
      <c r="D547" s="160"/>
      <c r="E547" s="159"/>
    </row>
    <row r="548" spans="1:5" x14ac:dyDescent="0.3">
      <c r="A548" s="157">
        <v>44526</v>
      </c>
      <c r="B548" s="158">
        <v>24430.53</v>
      </c>
      <c r="C548"/>
      <c r="D548" s="160"/>
      <c r="E548" s="159"/>
    </row>
    <row r="549" spans="1:5" x14ac:dyDescent="0.3">
      <c r="A549" s="157">
        <v>44525</v>
      </c>
      <c r="B549" s="158">
        <v>25162.07</v>
      </c>
      <c r="C549"/>
      <c r="D549" s="160"/>
      <c r="E549" s="159"/>
    </row>
    <row r="550" spans="1:5" x14ac:dyDescent="0.3">
      <c r="A550" s="157">
        <v>44524</v>
      </c>
      <c r="B550" s="158">
        <v>24988.18</v>
      </c>
      <c r="C550"/>
      <c r="D550" s="160"/>
      <c r="E550" s="159"/>
    </row>
    <row r="551" spans="1:5" x14ac:dyDescent="0.3">
      <c r="A551" s="157">
        <v>44523</v>
      </c>
      <c r="B551" s="158">
        <v>25114.82</v>
      </c>
      <c r="C551"/>
      <c r="D551" s="160"/>
      <c r="E551" s="159"/>
    </row>
    <row r="552" spans="1:5" x14ac:dyDescent="0.3">
      <c r="A552" s="157">
        <v>44522</v>
      </c>
      <c r="B552" s="158">
        <v>24990.27</v>
      </c>
      <c r="C552"/>
      <c r="D552" s="160"/>
      <c r="E552" s="159"/>
    </row>
    <row r="553" spans="1:5" x14ac:dyDescent="0.3">
      <c r="A553" s="157">
        <v>44518</v>
      </c>
      <c r="B553" s="158">
        <v>25483.23</v>
      </c>
      <c r="C553"/>
      <c r="D553" s="160"/>
      <c r="E553" s="159"/>
    </row>
    <row r="554" spans="1:5" x14ac:dyDescent="0.3">
      <c r="A554" s="157">
        <v>44517</v>
      </c>
      <c r="B554" s="158">
        <v>25675.200000000001</v>
      </c>
      <c r="C554"/>
      <c r="D554" s="160"/>
      <c r="E554" s="159"/>
    </row>
    <row r="555" spans="1:5" x14ac:dyDescent="0.3">
      <c r="A555" s="157">
        <v>44516</v>
      </c>
      <c r="B555" s="158">
        <v>25819.49</v>
      </c>
      <c r="C555"/>
      <c r="D555" s="160"/>
      <c r="E555" s="159"/>
    </row>
    <row r="556" spans="1:5" x14ac:dyDescent="0.3">
      <c r="A556" s="157">
        <v>44515</v>
      </c>
      <c r="B556" s="158">
        <v>25977.61</v>
      </c>
      <c r="C556"/>
      <c r="D556" s="160"/>
      <c r="E556" s="159"/>
    </row>
    <row r="557" spans="1:5" x14ac:dyDescent="0.3">
      <c r="A557" s="157">
        <v>44512</v>
      </c>
      <c r="B557" s="158">
        <v>25968.02</v>
      </c>
      <c r="C557"/>
      <c r="D557" s="160"/>
      <c r="E557" s="159"/>
    </row>
    <row r="558" spans="1:5" x14ac:dyDescent="0.3">
      <c r="A558" s="157">
        <v>44511</v>
      </c>
      <c r="B558" s="158">
        <v>25639.32</v>
      </c>
      <c r="C558"/>
      <c r="D558" s="160"/>
      <c r="E558" s="159"/>
    </row>
    <row r="559" spans="1:5" x14ac:dyDescent="0.3">
      <c r="A559" s="157">
        <v>44510</v>
      </c>
      <c r="B559" s="158">
        <v>25839.47</v>
      </c>
      <c r="C559"/>
      <c r="D559" s="160"/>
      <c r="E559" s="159"/>
    </row>
    <row r="560" spans="1:5" x14ac:dyDescent="0.3">
      <c r="A560" s="157">
        <v>44509</v>
      </c>
      <c r="B560" s="158">
        <v>25878.28</v>
      </c>
      <c r="C560"/>
      <c r="D560" s="160"/>
      <c r="E560" s="159"/>
    </row>
    <row r="561" spans="1:5" x14ac:dyDescent="0.3">
      <c r="A561" s="157">
        <v>44508</v>
      </c>
      <c r="B561" s="158">
        <v>25913.09</v>
      </c>
      <c r="C561"/>
      <c r="D561" s="160"/>
      <c r="E561" s="159"/>
    </row>
    <row r="562" spans="1:5" x14ac:dyDescent="0.3">
      <c r="A562" s="157">
        <v>44504</v>
      </c>
      <c r="B562" s="158">
        <v>25695.5</v>
      </c>
      <c r="C562"/>
      <c r="D562" s="160"/>
      <c r="E562" s="159"/>
    </row>
    <row r="563" spans="1:5" x14ac:dyDescent="0.3">
      <c r="A563" s="157">
        <v>44503</v>
      </c>
      <c r="B563" s="158">
        <v>25569.86</v>
      </c>
      <c r="C563"/>
      <c r="D563" s="160"/>
      <c r="E563" s="159"/>
    </row>
    <row r="564" spans="1:5" x14ac:dyDescent="0.3">
      <c r="A564" s="157">
        <v>44502</v>
      </c>
      <c r="B564" s="158">
        <v>25655.51</v>
      </c>
      <c r="C564"/>
      <c r="D564" s="160"/>
      <c r="E564" s="159"/>
    </row>
    <row r="565" spans="1:5" x14ac:dyDescent="0.3">
      <c r="A565" s="157">
        <v>44501</v>
      </c>
      <c r="B565" s="158">
        <v>25710.799999999999</v>
      </c>
      <c r="C565"/>
      <c r="D565" s="160"/>
      <c r="E565" s="159"/>
    </row>
    <row r="566" spans="1:5" x14ac:dyDescent="0.3">
      <c r="A566" s="157">
        <v>44498</v>
      </c>
      <c r="B566" s="158">
        <v>25340.83</v>
      </c>
      <c r="C566"/>
      <c r="D566" s="160"/>
      <c r="E566" s="159"/>
    </row>
    <row r="567" spans="1:5" x14ac:dyDescent="0.3">
      <c r="A567" s="157">
        <v>44497</v>
      </c>
      <c r="B567" s="158">
        <v>25606.99</v>
      </c>
      <c r="C567"/>
      <c r="D567" s="160"/>
      <c r="E567" s="159"/>
    </row>
    <row r="568" spans="1:5" x14ac:dyDescent="0.3">
      <c r="A568" s="157">
        <v>44496</v>
      </c>
      <c r="B568" s="158">
        <v>26113.62</v>
      </c>
      <c r="C568"/>
      <c r="D568" s="160"/>
      <c r="E568" s="159"/>
    </row>
    <row r="569" spans="1:5" x14ac:dyDescent="0.3">
      <c r="A569" s="157">
        <v>44495</v>
      </c>
      <c r="B569" s="158">
        <v>26196.05</v>
      </c>
      <c r="C569"/>
      <c r="D569" s="160"/>
      <c r="E569" s="159"/>
    </row>
    <row r="570" spans="1:5" x14ac:dyDescent="0.3">
      <c r="A570" s="157">
        <v>44494</v>
      </c>
      <c r="B570" s="158">
        <v>25967.040000000001</v>
      </c>
      <c r="C570"/>
      <c r="D570" s="160"/>
      <c r="E570" s="159"/>
    </row>
    <row r="571" spans="1:5" x14ac:dyDescent="0.3">
      <c r="A571" s="157">
        <v>44491</v>
      </c>
      <c r="B571" s="158">
        <v>25952.01</v>
      </c>
      <c r="C571"/>
      <c r="D571" s="160"/>
      <c r="E571" s="159"/>
    </row>
    <row r="572" spans="1:5" x14ac:dyDescent="0.3">
      <c r="A572" s="157">
        <v>44490</v>
      </c>
      <c r="B572" s="158">
        <v>26042.59</v>
      </c>
      <c r="C572"/>
      <c r="D572" s="160"/>
      <c r="E572" s="159"/>
    </row>
    <row r="573" spans="1:5" x14ac:dyDescent="0.3">
      <c r="A573" s="157">
        <v>44489</v>
      </c>
      <c r="B573" s="158">
        <v>26165.78</v>
      </c>
      <c r="C573"/>
      <c r="D573" s="160"/>
      <c r="E573" s="159"/>
    </row>
    <row r="574" spans="1:5" x14ac:dyDescent="0.3">
      <c r="A574" s="157">
        <v>44488</v>
      </c>
      <c r="B574" s="158">
        <v>26383.71</v>
      </c>
      <c r="C574"/>
      <c r="D574" s="160"/>
      <c r="E574" s="159"/>
    </row>
    <row r="575" spans="1:5" x14ac:dyDescent="0.3">
      <c r="A575" s="157">
        <v>44487</v>
      </c>
      <c r="B575" s="158">
        <v>26467.21</v>
      </c>
      <c r="C575"/>
      <c r="D575" s="160"/>
      <c r="E575" s="159"/>
    </row>
    <row r="576" spans="1:5" x14ac:dyDescent="0.3">
      <c r="A576" s="157">
        <v>44483</v>
      </c>
      <c r="B576" s="158">
        <v>26268.83</v>
      </c>
      <c r="C576"/>
      <c r="D576" s="160"/>
      <c r="E576" s="159"/>
    </row>
    <row r="577" spans="1:5" x14ac:dyDescent="0.3">
      <c r="A577" s="157">
        <v>44482</v>
      </c>
      <c r="B577" s="158">
        <v>26013.19</v>
      </c>
      <c r="C577"/>
      <c r="D577" s="160"/>
      <c r="E577" s="159"/>
    </row>
    <row r="578" spans="1:5" x14ac:dyDescent="0.3">
      <c r="A578" s="157">
        <v>44481</v>
      </c>
      <c r="B578" s="158">
        <v>25770.01</v>
      </c>
      <c r="C578"/>
      <c r="D578" s="160"/>
      <c r="E578" s="159"/>
    </row>
    <row r="579" spans="1:5" x14ac:dyDescent="0.3">
      <c r="A579" s="157">
        <v>44480</v>
      </c>
      <c r="B579" s="158">
        <v>25704.1</v>
      </c>
      <c r="C579"/>
      <c r="D579" s="160"/>
      <c r="E579" s="159"/>
    </row>
    <row r="580" spans="1:5" x14ac:dyDescent="0.3">
      <c r="A580" s="157">
        <v>44477</v>
      </c>
      <c r="B580" s="158">
        <v>25631.38</v>
      </c>
      <c r="C580"/>
      <c r="D580" s="160"/>
      <c r="E580" s="159"/>
    </row>
    <row r="581" spans="1:5" x14ac:dyDescent="0.3">
      <c r="A581" s="157">
        <v>44476</v>
      </c>
      <c r="B581" s="158">
        <v>25481.26</v>
      </c>
      <c r="C581"/>
      <c r="D581" s="160"/>
      <c r="E581" s="159"/>
    </row>
    <row r="582" spans="1:5" x14ac:dyDescent="0.3">
      <c r="A582" s="157">
        <v>44475</v>
      </c>
      <c r="B582" s="158">
        <v>25274.48</v>
      </c>
      <c r="C582"/>
      <c r="D582" s="160"/>
      <c r="E582" s="159"/>
    </row>
    <row r="583" spans="1:5" x14ac:dyDescent="0.3">
      <c r="A583" s="157">
        <v>44474</v>
      </c>
      <c r="B583" s="158">
        <v>25526.98</v>
      </c>
      <c r="C583"/>
      <c r="D583" s="160"/>
      <c r="E583" s="159"/>
    </row>
    <row r="584" spans="1:5" x14ac:dyDescent="0.3">
      <c r="A584" s="157">
        <v>44473</v>
      </c>
      <c r="B584" s="158">
        <v>25339.32</v>
      </c>
      <c r="C584"/>
      <c r="D584" s="160"/>
      <c r="E584" s="159"/>
    </row>
    <row r="585" spans="1:5" x14ac:dyDescent="0.3">
      <c r="A585" s="157">
        <v>44470</v>
      </c>
      <c r="B585" s="158">
        <v>25111.25</v>
      </c>
      <c r="C585"/>
      <c r="D585" s="160"/>
      <c r="E585" s="159"/>
    </row>
    <row r="586" spans="1:5" x14ac:dyDescent="0.3">
      <c r="A586" s="157">
        <v>44469</v>
      </c>
      <c r="B586" s="158">
        <v>25234.57</v>
      </c>
      <c r="C586"/>
      <c r="D586" s="160"/>
      <c r="E586" s="159"/>
    </row>
    <row r="587" spans="1:5" x14ac:dyDescent="0.3">
      <c r="A587" s="157">
        <v>44468</v>
      </c>
      <c r="B587" s="158">
        <v>25367.99</v>
      </c>
      <c r="C587"/>
      <c r="D587" s="160"/>
      <c r="E587" s="159"/>
    </row>
    <row r="588" spans="1:5" x14ac:dyDescent="0.3">
      <c r="A588" s="157">
        <v>44467</v>
      </c>
      <c r="B588" s="158">
        <v>25421.46</v>
      </c>
      <c r="C588"/>
      <c r="D588" s="160"/>
      <c r="E588" s="159"/>
    </row>
    <row r="589" spans="1:5" x14ac:dyDescent="0.3">
      <c r="A589" s="157">
        <v>44466</v>
      </c>
      <c r="B589" s="158">
        <v>25573.99</v>
      </c>
      <c r="C589"/>
      <c r="D589" s="160"/>
      <c r="E589" s="159"/>
    </row>
    <row r="590" spans="1:5" x14ac:dyDescent="0.3">
      <c r="A590" s="157">
        <v>44463</v>
      </c>
      <c r="B590" s="158">
        <v>25571.24</v>
      </c>
      <c r="C590"/>
      <c r="D590" s="160"/>
      <c r="E590" s="159"/>
    </row>
    <row r="591" spans="1:5" x14ac:dyDescent="0.3">
      <c r="A591" s="157">
        <v>44462</v>
      </c>
      <c r="B591" s="158">
        <v>25527.919999999998</v>
      </c>
      <c r="C591"/>
      <c r="D591" s="160"/>
      <c r="E591" s="159"/>
    </row>
    <row r="592" spans="1:5" x14ac:dyDescent="0.3">
      <c r="A592" s="157">
        <v>44461</v>
      </c>
      <c r="B592" s="158">
        <v>25132.15</v>
      </c>
      <c r="C592"/>
      <c r="D592" s="160"/>
      <c r="E592" s="159"/>
    </row>
    <row r="593" spans="1:5" x14ac:dyDescent="0.3">
      <c r="A593" s="157">
        <v>44460</v>
      </c>
      <c r="B593" s="158">
        <v>25154.16</v>
      </c>
      <c r="C593"/>
      <c r="D593" s="160"/>
      <c r="E593" s="159"/>
    </row>
    <row r="594" spans="1:5" x14ac:dyDescent="0.3">
      <c r="A594" s="157">
        <v>44459</v>
      </c>
      <c r="B594" s="158">
        <v>24917.72</v>
      </c>
      <c r="C594"/>
      <c r="D594" s="160"/>
      <c r="E594" s="159"/>
    </row>
    <row r="595" spans="1:5" x14ac:dyDescent="0.3">
      <c r="A595" s="157">
        <v>44456</v>
      </c>
      <c r="B595" s="158">
        <v>25187.34</v>
      </c>
      <c r="C595"/>
      <c r="D595" s="160"/>
      <c r="E595" s="159"/>
    </row>
    <row r="596" spans="1:5" x14ac:dyDescent="0.3">
      <c r="A596" s="157">
        <v>44455</v>
      </c>
      <c r="B596" s="158">
        <v>25250.87</v>
      </c>
      <c r="C596"/>
      <c r="D596" s="160"/>
      <c r="E596" s="159"/>
    </row>
    <row r="597" spans="1:5" x14ac:dyDescent="0.3">
      <c r="A597" s="157">
        <v>44454</v>
      </c>
      <c r="B597" s="158">
        <v>25093.22</v>
      </c>
      <c r="C597"/>
      <c r="D597" s="160"/>
      <c r="E597" s="159"/>
    </row>
    <row r="598" spans="1:5" x14ac:dyDescent="0.3">
      <c r="A598" s="157">
        <v>44453</v>
      </c>
      <c r="B598" s="158">
        <v>24893.51</v>
      </c>
      <c r="C598"/>
      <c r="D598" s="160"/>
      <c r="E598" s="159"/>
    </row>
    <row r="599" spans="1:5" x14ac:dyDescent="0.3">
      <c r="A599" s="157">
        <v>44452</v>
      </c>
      <c r="B599" s="158">
        <v>24858.12</v>
      </c>
      <c r="C599"/>
      <c r="D599" s="160"/>
      <c r="E599" s="159"/>
    </row>
    <row r="600" spans="1:5" x14ac:dyDescent="0.3">
      <c r="A600" s="157">
        <v>44448</v>
      </c>
      <c r="B600" s="158">
        <v>24878.09</v>
      </c>
      <c r="C600"/>
      <c r="D600" s="160"/>
      <c r="E600" s="159"/>
    </row>
    <row r="601" spans="1:5" x14ac:dyDescent="0.3">
      <c r="A601" s="157">
        <v>44447</v>
      </c>
      <c r="B601" s="158">
        <v>24855.5</v>
      </c>
      <c r="C601"/>
      <c r="D601" s="160"/>
      <c r="E601" s="159"/>
    </row>
    <row r="602" spans="1:5" x14ac:dyDescent="0.3">
      <c r="A602" s="157">
        <v>44446</v>
      </c>
      <c r="B602" s="158">
        <v>24857.27</v>
      </c>
      <c r="C602"/>
      <c r="D602" s="160"/>
      <c r="E602" s="159"/>
    </row>
    <row r="603" spans="1:5" x14ac:dyDescent="0.3">
      <c r="A603" s="157">
        <v>44445</v>
      </c>
      <c r="B603" s="158">
        <v>24879.79</v>
      </c>
      <c r="C603"/>
      <c r="D603" s="160"/>
      <c r="E603" s="159"/>
    </row>
    <row r="604" spans="1:5" x14ac:dyDescent="0.3">
      <c r="A604" s="157">
        <v>44442</v>
      </c>
      <c r="B604" s="158">
        <v>24802.17</v>
      </c>
      <c r="C604"/>
      <c r="D604" s="160"/>
      <c r="E604" s="159"/>
    </row>
    <row r="605" spans="1:5" x14ac:dyDescent="0.3">
      <c r="A605" s="157">
        <v>44441</v>
      </c>
      <c r="B605" s="158">
        <v>24674.11</v>
      </c>
      <c r="C605"/>
      <c r="D605" s="160"/>
      <c r="E605" s="159"/>
    </row>
    <row r="606" spans="1:5" x14ac:dyDescent="0.3">
      <c r="A606" s="157">
        <v>44440</v>
      </c>
      <c r="B606" s="158">
        <v>24445.62</v>
      </c>
      <c r="C606"/>
      <c r="D606" s="160"/>
      <c r="E606" s="159"/>
    </row>
    <row r="607" spans="1:5" x14ac:dyDescent="0.3">
      <c r="A607" s="157">
        <v>44439</v>
      </c>
      <c r="B607" s="158">
        <v>24525.71</v>
      </c>
      <c r="C607"/>
      <c r="D607" s="160"/>
      <c r="E607" s="159"/>
    </row>
    <row r="608" spans="1:5" x14ac:dyDescent="0.3">
      <c r="A608" s="157">
        <v>44438</v>
      </c>
      <c r="B608" s="158">
        <v>24237.8</v>
      </c>
      <c r="C608"/>
      <c r="D608" s="160"/>
      <c r="E608" s="159"/>
    </row>
    <row r="609" spans="1:5" x14ac:dyDescent="0.3">
      <c r="A609" s="157">
        <v>44435</v>
      </c>
      <c r="B609" s="158">
        <v>23914.48</v>
      </c>
      <c r="C609"/>
      <c r="D609" s="160"/>
      <c r="E609" s="159"/>
    </row>
    <row r="610" spans="1:5" x14ac:dyDescent="0.3">
      <c r="A610" s="157">
        <v>44434</v>
      </c>
      <c r="B610" s="158">
        <v>23816.68</v>
      </c>
      <c r="C610"/>
      <c r="D610" s="160"/>
      <c r="E610" s="159"/>
    </row>
    <row r="611" spans="1:5" x14ac:dyDescent="0.3">
      <c r="A611" s="157">
        <v>44433</v>
      </c>
      <c r="B611" s="158">
        <v>23813.43</v>
      </c>
      <c r="C611"/>
      <c r="D611" s="160"/>
      <c r="E611" s="159"/>
    </row>
    <row r="612" spans="1:5" x14ac:dyDescent="0.3">
      <c r="A612" s="157">
        <v>44432</v>
      </c>
      <c r="B612" s="158">
        <v>23799.1</v>
      </c>
      <c r="C612"/>
      <c r="D612" s="160"/>
      <c r="E612" s="159"/>
    </row>
    <row r="613" spans="1:5" x14ac:dyDescent="0.3">
      <c r="A613" s="157">
        <v>44431</v>
      </c>
      <c r="B613" s="158">
        <v>23615.61</v>
      </c>
      <c r="C613"/>
      <c r="D613" s="160"/>
      <c r="E613" s="159"/>
    </row>
    <row r="614" spans="1:5" x14ac:dyDescent="0.3">
      <c r="A614" s="157">
        <v>44428</v>
      </c>
      <c r="B614" s="158">
        <v>23549.09</v>
      </c>
      <c r="C614"/>
      <c r="D614" s="160"/>
      <c r="E614" s="159"/>
    </row>
    <row r="615" spans="1:5" x14ac:dyDescent="0.3">
      <c r="A615" s="157">
        <v>44426</v>
      </c>
      <c r="B615" s="158">
        <v>23718.57</v>
      </c>
      <c r="C615"/>
      <c r="D615" s="160"/>
      <c r="E615" s="159"/>
    </row>
    <row r="616" spans="1:5" x14ac:dyDescent="0.3">
      <c r="A616" s="157">
        <v>44425</v>
      </c>
      <c r="B616" s="158">
        <v>23784.05</v>
      </c>
      <c r="C616"/>
      <c r="D616" s="160"/>
      <c r="E616" s="159"/>
    </row>
    <row r="617" spans="1:5" x14ac:dyDescent="0.3">
      <c r="A617" s="157">
        <v>44424</v>
      </c>
      <c r="B617" s="158">
        <v>23708.38</v>
      </c>
      <c r="C617"/>
      <c r="D617" s="160"/>
      <c r="E617" s="159"/>
    </row>
    <row r="618" spans="1:5" x14ac:dyDescent="0.3">
      <c r="A618" s="157">
        <v>44421</v>
      </c>
      <c r="B618" s="158">
        <v>23659.78</v>
      </c>
      <c r="C618"/>
      <c r="D618" s="160"/>
      <c r="E618" s="159"/>
    </row>
    <row r="619" spans="1:5" x14ac:dyDescent="0.3">
      <c r="A619" s="157">
        <v>44420</v>
      </c>
      <c r="B619" s="158">
        <v>23424.04</v>
      </c>
      <c r="C619"/>
      <c r="D619" s="160"/>
      <c r="E619" s="159"/>
    </row>
    <row r="620" spans="1:5" x14ac:dyDescent="0.3">
      <c r="A620" s="157">
        <v>44419</v>
      </c>
      <c r="B620" s="158">
        <v>23303.89</v>
      </c>
      <c r="C620"/>
      <c r="D620" s="160"/>
      <c r="E620" s="159"/>
    </row>
    <row r="621" spans="1:5" x14ac:dyDescent="0.3">
      <c r="A621" s="157">
        <v>44418</v>
      </c>
      <c r="B621" s="158">
        <v>23300.36</v>
      </c>
      <c r="C621"/>
      <c r="D621" s="160"/>
      <c r="E621" s="159"/>
    </row>
    <row r="622" spans="1:5" x14ac:dyDescent="0.3">
      <c r="A622" s="157">
        <v>44417</v>
      </c>
      <c r="B622" s="158">
        <v>23269.119999999999</v>
      </c>
      <c r="C622"/>
      <c r="D622" s="160"/>
      <c r="E622" s="159"/>
    </row>
    <row r="623" spans="1:5" x14ac:dyDescent="0.3">
      <c r="A623" s="157">
        <v>44414</v>
      </c>
      <c r="B623" s="158">
        <v>23238.83</v>
      </c>
      <c r="C623"/>
      <c r="D623" s="160"/>
      <c r="E623" s="159"/>
    </row>
    <row r="624" spans="1:5" x14ac:dyDescent="0.3">
      <c r="A624" s="157">
        <v>44413</v>
      </c>
      <c r="B624" s="158">
        <v>23319.53</v>
      </c>
      <c r="C624"/>
      <c r="D624" s="160"/>
      <c r="E624" s="159"/>
    </row>
    <row r="625" spans="1:5" x14ac:dyDescent="0.3">
      <c r="A625" s="157">
        <v>44412</v>
      </c>
      <c r="B625" s="158">
        <v>23265.07</v>
      </c>
      <c r="C625"/>
      <c r="D625" s="160"/>
      <c r="E625" s="159"/>
    </row>
    <row r="626" spans="1:5" x14ac:dyDescent="0.3">
      <c r="A626" s="157">
        <v>44411</v>
      </c>
      <c r="B626" s="158">
        <v>23081.86</v>
      </c>
      <c r="C626"/>
      <c r="D626" s="160"/>
      <c r="E626" s="159"/>
    </row>
    <row r="627" spans="1:5" x14ac:dyDescent="0.3">
      <c r="A627" s="157">
        <v>44410</v>
      </c>
      <c r="B627" s="158">
        <v>22730.42</v>
      </c>
      <c r="C627"/>
      <c r="D627" s="160"/>
      <c r="E627" s="159"/>
    </row>
    <row r="628" spans="1:5" x14ac:dyDescent="0.3">
      <c r="A628" s="157">
        <v>44407</v>
      </c>
      <c r="B628" s="158">
        <v>22554.26</v>
      </c>
      <c r="C628"/>
      <c r="D628" s="160"/>
      <c r="E628" s="159"/>
    </row>
    <row r="629" spans="1:5" x14ac:dyDescent="0.3">
      <c r="A629" s="157">
        <v>44406</v>
      </c>
      <c r="B629" s="158">
        <v>22576.34</v>
      </c>
      <c r="C629"/>
      <c r="D629" s="160"/>
      <c r="E629" s="159"/>
    </row>
    <row r="630" spans="1:5" x14ac:dyDescent="0.3">
      <c r="A630" s="157">
        <v>44405</v>
      </c>
      <c r="B630" s="158">
        <v>22472.95</v>
      </c>
      <c r="C630"/>
      <c r="D630" s="160"/>
      <c r="E630" s="159"/>
    </row>
    <row r="631" spans="1:5" x14ac:dyDescent="0.3">
      <c r="A631" s="157">
        <v>44404</v>
      </c>
      <c r="B631" s="158">
        <v>22518.799999999999</v>
      </c>
      <c r="C631"/>
      <c r="D631" s="160"/>
      <c r="E631" s="159"/>
    </row>
    <row r="632" spans="1:5" x14ac:dyDescent="0.3">
      <c r="A632" s="157">
        <v>44403</v>
      </c>
      <c r="B632" s="158">
        <v>22628.19</v>
      </c>
      <c r="C632"/>
      <c r="D632" s="160"/>
      <c r="E632" s="159"/>
    </row>
    <row r="633" spans="1:5" x14ac:dyDescent="0.3">
      <c r="A633" s="157">
        <v>44400</v>
      </c>
      <c r="B633" s="158">
        <v>22673.35</v>
      </c>
      <c r="C633"/>
      <c r="D633" s="160"/>
      <c r="E633" s="159"/>
    </row>
    <row r="634" spans="1:5" x14ac:dyDescent="0.3">
      <c r="A634" s="157">
        <v>44399</v>
      </c>
      <c r="B634" s="158">
        <v>22621.45</v>
      </c>
      <c r="C634"/>
      <c r="D634" s="160"/>
      <c r="E634" s="159"/>
    </row>
    <row r="635" spans="1:5" x14ac:dyDescent="0.3">
      <c r="A635" s="157">
        <v>44397</v>
      </c>
      <c r="B635" s="158">
        <v>22344.81</v>
      </c>
      <c r="C635"/>
      <c r="D635" s="160"/>
      <c r="E635" s="159"/>
    </row>
    <row r="636" spans="1:5" x14ac:dyDescent="0.3">
      <c r="A636" s="157">
        <v>44396</v>
      </c>
      <c r="B636" s="158">
        <v>22516.71</v>
      </c>
      <c r="C636"/>
      <c r="D636" s="160"/>
      <c r="E636" s="159"/>
    </row>
    <row r="637" spans="1:5" x14ac:dyDescent="0.3">
      <c r="A637" s="157">
        <v>44393</v>
      </c>
      <c r="B637" s="158">
        <v>22761.200000000001</v>
      </c>
      <c r="C637"/>
      <c r="D637" s="160"/>
      <c r="E637" s="159"/>
    </row>
    <row r="638" spans="1:5" x14ac:dyDescent="0.3">
      <c r="A638" s="157">
        <v>44392</v>
      </c>
      <c r="B638" s="158">
        <v>22762.34</v>
      </c>
      <c r="C638"/>
      <c r="D638" s="160"/>
      <c r="E638" s="159"/>
    </row>
    <row r="639" spans="1:5" x14ac:dyDescent="0.3">
      <c r="A639" s="157">
        <v>44391</v>
      </c>
      <c r="B639" s="158">
        <v>22656.78</v>
      </c>
      <c r="C639"/>
      <c r="D639" s="160"/>
      <c r="E639" s="159"/>
    </row>
    <row r="640" spans="1:5" x14ac:dyDescent="0.3">
      <c r="A640" s="157">
        <v>44390</v>
      </c>
      <c r="B640" s="158">
        <v>22595.49</v>
      </c>
      <c r="C640"/>
      <c r="D640" s="160"/>
      <c r="E640" s="159"/>
    </row>
    <row r="641" spans="1:5" x14ac:dyDescent="0.3">
      <c r="A641" s="157">
        <v>44389</v>
      </c>
      <c r="B641" s="158">
        <v>22424.39</v>
      </c>
      <c r="C641"/>
      <c r="D641" s="160"/>
      <c r="E641" s="159"/>
    </row>
    <row r="642" spans="1:5" x14ac:dyDescent="0.3">
      <c r="A642" s="157">
        <v>44386</v>
      </c>
      <c r="B642" s="158">
        <v>22420.36</v>
      </c>
      <c r="C642"/>
      <c r="D642" s="160"/>
      <c r="E642" s="159"/>
    </row>
    <row r="643" spans="1:5" x14ac:dyDescent="0.3">
      <c r="A643" s="157">
        <v>44385</v>
      </c>
      <c r="B643" s="158">
        <v>22473.81</v>
      </c>
      <c r="C643"/>
      <c r="D643" s="160"/>
      <c r="E643" s="159"/>
    </row>
    <row r="644" spans="1:5" x14ac:dyDescent="0.3">
      <c r="A644" s="157">
        <v>44384</v>
      </c>
      <c r="B644" s="158">
        <v>22683.66</v>
      </c>
      <c r="C644"/>
      <c r="D644" s="160"/>
      <c r="E644" s="159"/>
    </row>
    <row r="645" spans="1:5" x14ac:dyDescent="0.3">
      <c r="A645" s="157">
        <v>44383</v>
      </c>
      <c r="B645" s="158">
        <v>22595.93</v>
      </c>
      <c r="C645"/>
      <c r="D645" s="160"/>
      <c r="E645" s="159"/>
    </row>
    <row r="646" spans="1:5" x14ac:dyDescent="0.3">
      <c r="A646" s="157">
        <v>44382</v>
      </c>
      <c r="B646" s="158">
        <v>22618.97</v>
      </c>
      <c r="C646"/>
      <c r="D646" s="160"/>
      <c r="E646" s="159"/>
    </row>
    <row r="647" spans="1:5" x14ac:dyDescent="0.3">
      <c r="A647" s="157">
        <v>44379</v>
      </c>
      <c r="B647" s="158">
        <v>22456.66</v>
      </c>
      <c r="C647"/>
      <c r="D647" s="160"/>
      <c r="E647" s="159"/>
    </row>
    <row r="648" spans="1:5" x14ac:dyDescent="0.3">
      <c r="A648" s="157">
        <v>44378</v>
      </c>
      <c r="B648" s="158">
        <v>22396.400000000001</v>
      </c>
      <c r="C648"/>
      <c r="D648" s="160"/>
      <c r="E648" s="159"/>
    </row>
    <row r="649" spans="1:5" x14ac:dyDescent="0.3">
      <c r="A649" s="157">
        <v>44377</v>
      </c>
      <c r="B649" s="158">
        <v>22455.7</v>
      </c>
      <c r="C649"/>
      <c r="D649" s="160"/>
      <c r="E649" s="159"/>
    </row>
    <row r="650" spans="1:5" x14ac:dyDescent="0.3">
      <c r="A650" s="157">
        <v>44376</v>
      </c>
      <c r="B650" s="158">
        <v>22493.599999999999</v>
      </c>
      <c r="C650"/>
      <c r="D650" s="160"/>
      <c r="E650" s="159"/>
    </row>
    <row r="651" spans="1:5" x14ac:dyDescent="0.3">
      <c r="A651" s="157">
        <v>44375</v>
      </c>
      <c r="B651" s="158">
        <v>22578.86</v>
      </c>
      <c r="C651"/>
      <c r="D651" s="160"/>
      <c r="E651" s="159"/>
    </row>
    <row r="652" spans="1:5" x14ac:dyDescent="0.3">
      <c r="A652" s="157">
        <v>44372</v>
      </c>
      <c r="B652" s="158">
        <v>22644.06</v>
      </c>
      <c r="C652"/>
      <c r="D652" s="160"/>
      <c r="E652" s="159"/>
    </row>
    <row r="653" spans="1:5" x14ac:dyDescent="0.3">
      <c r="A653" s="157">
        <v>44371</v>
      </c>
      <c r="B653" s="158">
        <v>22544.26</v>
      </c>
      <c r="C653"/>
      <c r="D653" s="160"/>
      <c r="E653" s="159"/>
    </row>
    <row r="654" spans="1:5" x14ac:dyDescent="0.3">
      <c r="A654" s="157">
        <v>44370</v>
      </c>
      <c r="B654" s="158">
        <v>22395.25</v>
      </c>
      <c r="C654"/>
      <c r="D654" s="160"/>
      <c r="E654" s="159"/>
    </row>
    <row r="655" spans="1:5" x14ac:dyDescent="0.3">
      <c r="A655" s="157">
        <v>44369</v>
      </c>
      <c r="B655" s="158">
        <v>22517.74</v>
      </c>
      <c r="C655"/>
      <c r="D655" s="160"/>
      <c r="E655" s="159"/>
    </row>
    <row r="656" spans="1:5" x14ac:dyDescent="0.3">
      <c r="A656" s="157">
        <v>44368</v>
      </c>
      <c r="B656" s="158">
        <v>22480.3</v>
      </c>
      <c r="C656"/>
      <c r="D656" s="160"/>
      <c r="E656" s="159"/>
    </row>
    <row r="657" spans="1:5" x14ac:dyDescent="0.3">
      <c r="A657" s="157">
        <v>44365</v>
      </c>
      <c r="B657" s="158">
        <v>22390.11</v>
      </c>
      <c r="C657"/>
      <c r="D657" s="160"/>
      <c r="E657" s="159"/>
    </row>
    <row r="658" spans="1:5" x14ac:dyDescent="0.3">
      <c r="A658" s="157">
        <v>44364</v>
      </c>
      <c r="B658" s="158">
        <v>22401.65</v>
      </c>
      <c r="C658"/>
      <c r="D658" s="160"/>
      <c r="E658" s="159"/>
    </row>
    <row r="659" spans="1:5" x14ac:dyDescent="0.3">
      <c r="A659" s="157">
        <v>44363</v>
      </c>
      <c r="B659" s="158">
        <v>22503.9</v>
      </c>
      <c r="C659"/>
      <c r="D659" s="160"/>
      <c r="E659" s="159"/>
    </row>
    <row r="660" spans="1:5" x14ac:dyDescent="0.3">
      <c r="A660" s="157">
        <v>44362</v>
      </c>
      <c r="B660" s="158">
        <v>22649.05</v>
      </c>
      <c r="C660"/>
      <c r="D660" s="160"/>
      <c r="E660" s="159"/>
    </row>
    <row r="661" spans="1:5" x14ac:dyDescent="0.3">
      <c r="A661" s="157">
        <v>44361</v>
      </c>
      <c r="B661" s="158">
        <v>22567.11</v>
      </c>
      <c r="C661"/>
      <c r="D661" s="160"/>
      <c r="E661" s="159"/>
    </row>
    <row r="662" spans="1:5" x14ac:dyDescent="0.3">
      <c r="A662" s="157">
        <v>44358</v>
      </c>
      <c r="B662" s="158">
        <v>22544.26</v>
      </c>
      <c r="C662"/>
      <c r="D662" s="160"/>
      <c r="E662" s="159"/>
    </row>
    <row r="663" spans="1:5" x14ac:dyDescent="0.3">
      <c r="A663" s="157">
        <v>44357</v>
      </c>
      <c r="B663" s="158">
        <v>22448.94</v>
      </c>
      <c r="C663"/>
      <c r="D663" s="160"/>
      <c r="E663" s="159"/>
    </row>
    <row r="664" spans="1:5" x14ac:dyDescent="0.3">
      <c r="A664" s="157">
        <v>44356</v>
      </c>
      <c r="B664" s="158">
        <v>22283.52</v>
      </c>
      <c r="C664"/>
      <c r="D664" s="160"/>
      <c r="E664" s="159"/>
    </row>
    <row r="665" spans="1:5" x14ac:dyDescent="0.3">
      <c r="A665" s="157">
        <v>44355</v>
      </c>
      <c r="B665" s="158">
        <v>22432.77</v>
      </c>
      <c r="C665"/>
      <c r="D665" s="160"/>
      <c r="E665" s="159"/>
    </row>
    <row r="666" spans="1:5" x14ac:dyDescent="0.3">
      <c r="A666" s="157">
        <v>44354</v>
      </c>
      <c r="B666" s="158">
        <v>22449.24</v>
      </c>
      <c r="C666"/>
      <c r="D666" s="160"/>
      <c r="E666" s="159"/>
    </row>
    <row r="667" spans="1:5" x14ac:dyDescent="0.3">
      <c r="A667" s="157">
        <v>44351</v>
      </c>
      <c r="B667" s="158">
        <v>22333.23</v>
      </c>
      <c r="C667"/>
      <c r="D667" s="160"/>
      <c r="E667" s="159"/>
    </row>
    <row r="668" spans="1:5" x14ac:dyDescent="0.3">
      <c r="A668" s="157">
        <v>44350</v>
      </c>
      <c r="B668" s="158">
        <v>22361.86</v>
      </c>
      <c r="C668"/>
      <c r="D668" s="160"/>
      <c r="E668" s="159"/>
    </row>
    <row r="669" spans="1:5" x14ac:dyDescent="0.3">
      <c r="A669" s="157">
        <v>44349</v>
      </c>
      <c r="B669" s="158">
        <v>22194.18</v>
      </c>
      <c r="C669"/>
      <c r="D669" s="160"/>
      <c r="E669" s="159"/>
    </row>
    <row r="670" spans="1:5" x14ac:dyDescent="0.3">
      <c r="A670" s="157">
        <v>44348</v>
      </c>
      <c r="B670" s="158">
        <v>22192.25</v>
      </c>
      <c r="C670"/>
      <c r="D670" s="160"/>
      <c r="E670" s="159"/>
    </row>
    <row r="671" spans="1:5" x14ac:dyDescent="0.3">
      <c r="A671" s="157">
        <v>44347</v>
      </c>
      <c r="B671" s="158">
        <v>22203.59</v>
      </c>
      <c r="C671"/>
      <c r="D671" s="160"/>
      <c r="E671" s="159"/>
    </row>
    <row r="672" spans="1:5" x14ac:dyDescent="0.3">
      <c r="A672" s="157">
        <v>44344</v>
      </c>
      <c r="B672" s="158">
        <v>21962.31</v>
      </c>
      <c r="C672"/>
      <c r="D672" s="160"/>
      <c r="E672" s="159"/>
    </row>
    <row r="673" spans="1:5" x14ac:dyDescent="0.3">
      <c r="A673" s="157">
        <v>44343</v>
      </c>
      <c r="B673" s="158">
        <v>21823.14</v>
      </c>
      <c r="C673"/>
      <c r="D673" s="160"/>
      <c r="E673" s="159"/>
    </row>
    <row r="674" spans="1:5" x14ac:dyDescent="0.3">
      <c r="A674" s="157">
        <v>44342</v>
      </c>
      <c r="B674" s="158">
        <v>21771.35</v>
      </c>
      <c r="C674"/>
      <c r="D674" s="160"/>
      <c r="E674" s="159"/>
    </row>
    <row r="675" spans="1:5" x14ac:dyDescent="0.3">
      <c r="A675" s="157">
        <v>44341</v>
      </c>
      <c r="B675" s="158">
        <v>21639.040000000001</v>
      </c>
      <c r="C675"/>
      <c r="D675" s="160"/>
      <c r="E675" s="159"/>
    </row>
    <row r="676" spans="1:5" x14ac:dyDescent="0.3">
      <c r="A676" s="157">
        <v>44340</v>
      </c>
      <c r="B676" s="158">
        <v>21617.03</v>
      </c>
      <c r="C676"/>
      <c r="D676" s="160"/>
      <c r="E676" s="159"/>
    </row>
    <row r="677" spans="1:5" x14ac:dyDescent="0.3">
      <c r="A677" s="157">
        <v>44337</v>
      </c>
      <c r="B677" s="158">
        <v>21585.18</v>
      </c>
      <c r="C677"/>
      <c r="D677" s="160"/>
      <c r="E677" s="159"/>
    </row>
    <row r="678" spans="1:5" x14ac:dyDescent="0.3">
      <c r="A678" s="157">
        <v>44336</v>
      </c>
      <c r="B678" s="158">
        <v>21202.21</v>
      </c>
      <c r="C678"/>
      <c r="D678" s="160"/>
      <c r="E678" s="159"/>
    </row>
    <row r="679" spans="1:5" x14ac:dyDescent="0.3">
      <c r="A679" s="157">
        <v>44335</v>
      </c>
      <c r="B679" s="158">
        <v>21378.71</v>
      </c>
      <c r="C679"/>
      <c r="D679" s="160"/>
      <c r="E679" s="159"/>
    </row>
    <row r="680" spans="1:5" x14ac:dyDescent="0.3">
      <c r="A680" s="157">
        <v>44334</v>
      </c>
      <c r="B680" s="158">
        <v>21489.56</v>
      </c>
      <c r="C680"/>
      <c r="D680" s="160"/>
      <c r="E680" s="159"/>
    </row>
    <row r="681" spans="1:5" x14ac:dyDescent="0.3">
      <c r="A681" s="157">
        <v>44333</v>
      </c>
      <c r="B681" s="158">
        <v>21226.53</v>
      </c>
      <c r="C681"/>
      <c r="D681" s="160"/>
      <c r="E681" s="159"/>
    </row>
    <row r="682" spans="1:5" x14ac:dyDescent="0.3">
      <c r="A682" s="157">
        <v>44330</v>
      </c>
      <c r="B682" s="158">
        <v>20877.560000000001</v>
      </c>
      <c r="C682"/>
      <c r="D682" s="160"/>
      <c r="E682" s="159"/>
    </row>
    <row r="683" spans="1:5" x14ac:dyDescent="0.3">
      <c r="A683" s="157">
        <v>44328</v>
      </c>
      <c r="B683" s="158">
        <v>20904.13</v>
      </c>
      <c r="C683"/>
      <c r="D683" s="160"/>
      <c r="E683" s="159"/>
    </row>
    <row r="684" spans="1:5" x14ac:dyDescent="0.3">
      <c r="A684" s="157">
        <v>44327</v>
      </c>
      <c r="B684" s="158">
        <v>21123.53</v>
      </c>
      <c r="C684"/>
      <c r="D684" s="160"/>
      <c r="E684" s="159"/>
    </row>
    <row r="685" spans="1:5" x14ac:dyDescent="0.3">
      <c r="A685" s="157">
        <v>44326</v>
      </c>
      <c r="B685" s="158">
        <v>21253.8</v>
      </c>
      <c r="C685"/>
      <c r="D685" s="160"/>
      <c r="E685" s="159"/>
    </row>
    <row r="686" spans="1:5" x14ac:dyDescent="0.3">
      <c r="A686" s="157">
        <v>44323</v>
      </c>
      <c r="B686" s="158">
        <v>21084.26</v>
      </c>
      <c r="C686"/>
      <c r="D686" s="160"/>
      <c r="E686" s="159"/>
    </row>
    <row r="687" spans="1:5" x14ac:dyDescent="0.3">
      <c r="A687" s="157">
        <v>44322</v>
      </c>
      <c r="B687" s="158">
        <v>20944.41</v>
      </c>
      <c r="C687"/>
      <c r="D687" s="160"/>
      <c r="E687" s="159"/>
    </row>
    <row r="688" spans="1:5" x14ac:dyDescent="0.3">
      <c r="A688" s="157">
        <v>44321</v>
      </c>
      <c r="B688" s="158">
        <v>20792.240000000002</v>
      </c>
      <c r="C688"/>
      <c r="D688" s="160"/>
      <c r="E688" s="159"/>
    </row>
    <row r="689" spans="1:5" x14ac:dyDescent="0.3">
      <c r="A689" s="157">
        <v>44320</v>
      </c>
      <c r="B689" s="158">
        <v>20619.62</v>
      </c>
      <c r="C689"/>
      <c r="D689" s="160"/>
      <c r="E689" s="159"/>
    </row>
    <row r="690" spans="1:5" x14ac:dyDescent="0.3">
      <c r="A690" s="157">
        <v>44319</v>
      </c>
      <c r="B690" s="158">
        <v>20815.43</v>
      </c>
      <c r="C690"/>
      <c r="D690" s="160"/>
      <c r="E690" s="159"/>
    </row>
    <row r="691" spans="1:5" x14ac:dyDescent="0.3">
      <c r="A691" s="157">
        <v>44316</v>
      </c>
      <c r="B691" s="158">
        <v>20811.13</v>
      </c>
      <c r="C691"/>
      <c r="D691" s="160"/>
      <c r="E691" s="159"/>
    </row>
    <row r="692" spans="1:5" x14ac:dyDescent="0.3">
      <c r="A692" s="157">
        <v>44315</v>
      </c>
      <c r="B692" s="158">
        <v>21186.3</v>
      </c>
      <c r="C692"/>
      <c r="D692" s="160"/>
      <c r="E692" s="159"/>
    </row>
    <row r="693" spans="1:5" x14ac:dyDescent="0.3">
      <c r="A693" s="157">
        <v>44314</v>
      </c>
      <c r="B693" s="158">
        <v>21136.41</v>
      </c>
      <c r="C693"/>
      <c r="D693" s="160"/>
      <c r="E693" s="159"/>
    </row>
    <row r="694" spans="1:5" x14ac:dyDescent="0.3">
      <c r="A694" s="157">
        <v>44313</v>
      </c>
      <c r="B694" s="158">
        <v>20835.669999999998</v>
      </c>
      <c r="C694"/>
      <c r="D694" s="160"/>
      <c r="E694" s="159"/>
    </row>
    <row r="695" spans="1:5" x14ac:dyDescent="0.3">
      <c r="A695" s="157">
        <v>44312</v>
      </c>
      <c r="B695" s="158">
        <v>20596.72</v>
      </c>
      <c r="C695"/>
      <c r="D695" s="160"/>
      <c r="E695" s="159"/>
    </row>
    <row r="696" spans="1:5" x14ac:dyDescent="0.3">
      <c r="A696" s="157">
        <v>44309</v>
      </c>
      <c r="B696" s="158">
        <v>20392.439999999999</v>
      </c>
      <c r="C696"/>
      <c r="D696" s="160"/>
      <c r="E696" s="159"/>
    </row>
    <row r="697" spans="1:5" x14ac:dyDescent="0.3">
      <c r="A697" s="157">
        <v>44308</v>
      </c>
      <c r="B697" s="158">
        <v>20484.63</v>
      </c>
      <c r="C697"/>
      <c r="D697" s="160"/>
      <c r="E697" s="159"/>
    </row>
    <row r="698" spans="1:5" x14ac:dyDescent="0.3">
      <c r="A698" s="157">
        <v>44306</v>
      </c>
      <c r="B698" s="158">
        <v>20328.55</v>
      </c>
      <c r="C698"/>
      <c r="D698" s="160"/>
      <c r="E698" s="159"/>
    </row>
    <row r="699" spans="1:5" x14ac:dyDescent="0.3">
      <c r="A699" s="157">
        <v>44305</v>
      </c>
      <c r="B699" s="158">
        <v>20418.16</v>
      </c>
      <c r="C699"/>
      <c r="D699" s="160"/>
      <c r="E699" s="159"/>
    </row>
    <row r="700" spans="1:5" x14ac:dyDescent="0.3">
      <c r="A700" s="157">
        <v>44302</v>
      </c>
      <c r="B700" s="158">
        <v>20785.61</v>
      </c>
      <c r="C700"/>
      <c r="D700" s="160"/>
      <c r="E700" s="159"/>
    </row>
    <row r="701" spans="1:5" x14ac:dyDescent="0.3">
      <c r="A701" s="157">
        <v>44301</v>
      </c>
      <c r="B701" s="158">
        <v>20733.88</v>
      </c>
      <c r="C701"/>
      <c r="D701" s="160"/>
      <c r="E701" s="159"/>
    </row>
    <row r="702" spans="1:5" x14ac:dyDescent="0.3">
      <c r="A702" s="157">
        <v>44299</v>
      </c>
      <c r="B702" s="158">
        <v>20624.86</v>
      </c>
      <c r="C702"/>
      <c r="D702" s="160"/>
      <c r="E702" s="159"/>
    </row>
    <row r="703" spans="1:5" x14ac:dyDescent="0.3">
      <c r="A703" s="157">
        <v>44298</v>
      </c>
      <c r="B703" s="158">
        <v>20348.990000000002</v>
      </c>
      <c r="C703"/>
      <c r="D703" s="160"/>
      <c r="E703" s="159"/>
    </row>
    <row r="704" spans="1:5" x14ac:dyDescent="0.3">
      <c r="A704" s="157">
        <v>44295</v>
      </c>
      <c r="B704" s="158">
        <v>21094.17</v>
      </c>
      <c r="C704"/>
      <c r="D704" s="160"/>
      <c r="E704" s="159"/>
    </row>
    <row r="705" spans="1:5" x14ac:dyDescent="0.3">
      <c r="A705" s="157">
        <v>44294</v>
      </c>
      <c r="B705" s="158">
        <v>21149.59</v>
      </c>
      <c r="C705"/>
      <c r="D705" s="160"/>
      <c r="E705" s="159"/>
    </row>
    <row r="706" spans="1:5" x14ac:dyDescent="0.3">
      <c r="A706" s="157">
        <v>44293</v>
      </c>
      <c r="B706" s="158">
        <v>21069.32</v>
      </c>
      <c r="C706"/>
      <c r="D706" s="160"/>
      <c r="E706" s="159"/>
    </row>
    <row r="707" spans="1:5" x14ac:dyDescent="0.3">
      <c r="A707" s="157">
        <v>44292</v>
      </c>
      <c r="B707" s="158">
        <v>20876.57</v>
      </c>
      <c r="C707"/>
      <c r="D707" s="160"/>
      <c r="E707" s="159"/>
    </row>
    <row r="708" spans="1:5" x14ac:dyDescent="0.3">
      <c r="A708" s="157">
        <v>44291</v>
      </c>
      <c r="B708" s="158">
        <v>20811.61</v>
      </c>
      <c r="C708"/>
      <c r="D708" s="160"/>
      <c r="E708" s="159"/>
    </row>
    <row r="709" spans="1:5" x14ac:dyDescent="0.3">
      <c r="A709" s="157">
        <v>44287</v>
      </c>
      <c r="B709" s="158">
        <v>21137.69</v>
      </c>
      <c r="C709"/>
      <c r="D709" s="160"/>
      <c r="E709" s="159"/>
    </row>
    <row r="710" spans="1:5" x14ac:dyDescent="0.3">
      <c r="A710" s="157">
        <v>44286</v>
      </c>
      <c r="B710" s="158">
        <v>20886.52</v>
      </c>
      <c r="C710"/>
      <c r="D710" s="160"/>
      <c r="E710" s="159"/>
    </row>
    <row r="711" spans="1:5" x14ac:dyDescent="0.3">
      <c r="A711" s="157">
        <v>44285</v>
      </c>
      <c r="B711" s="158">
        <v>21106.06</v>
      </c>
      <c r="C711"/>
      <c r="D711" s="160"/>
      <c r="E711" s="159"/>
    </row>
    <row r="712" spans="1:5" x14ac:dyDescent="0.3">
      <c r="A712" s="157">
        <v>44281</v>
      </c>
      <c r="B712" s="158">
        <v>20625.79</v>
      </c>
      <c r="C712"/>
      <c r="D712" s="160"/>
      <c r="E712" s="159"/>
    </row>
    <row r="713" spans="1:5" x14ac:dyDescent="0.3">
      <c r="A713" s="157">
        <v>44280</v>
      </c>
      <c r="B713" s="158">
        <v>20366.419999999998</v>
      </c>
      <c r="C713"/>
      <c r="D713" s="160"/>
      <c r="E713" s="159"/>
    </row>
    <row r="714" spans="1:5" x14ac:dyDescent="0.3">
      <c r="A714" s="157">
        <v>44279</v>
      </c>
      <c r="B714" s="158">
        <v>20684.27</v>
      </c>
      <c r="C714"/>
      <c r="D714" s="160"/>
      <c r="E714" s="159"/>
    </row>
    <row r="715" spans="1:5" x14ac:dyDescent="0.3">
      <c r="A715" s="157">
        <v>44278</v>
      </c>
      <c r="B715" s="158">
        <v>21061.52</v>
      </c>
      <c r="C715"/>
      <c r="D715" s="160"/>
      <c r="E715" s="159"/>
    </row>
    <row r="716" spans="1:5" x14ac:dyDescent="0.3">
      <c r="A716" s="157">
        <v>44277</v>
      </c>
      <c r="B716" s="158">
        <v>20947.650000000001</v>
      </c>
      <c r="C716"/>
      <c r="D716" s="160"/>
      <c r="E716" s="159"/>
    </row>
    <row r="717" spans="1:5" x14ac:dyDescent="0.3">
      <c r="A717" s="157">
        <v>44274</v>
      </c>
      <c r="B717" s="158">
        <v>20956.87</v>
      </c>
      <c r="C717"/>
      <c r="D717" s="160"/>
    </row>
    <row r="718" spans="1:5" x14ac:dyDescent="0.3">
      <c r="A718" s="157">
        <v>44273</v>
      </c>
      <c r="B718" s="158">
        <v>20692.34</v>
      </c>
      <c r="C718"/>
      <c r="D718" s="160"/>
    </row>
    <row r="719" spans="1:5" x14ac:dyDescent="0.3">
      <c r="A719" s="157">
        <v>44272</v>
      </c>
      <c r="B719" s="158">
        <v>20924.61</v>
      </c>
      <c r="C719"/>
      <c r="D719" s="160"/>
    </row>
    <row r="720" spans="1:5" x14ac:dyDescent="0.3">
      <c r="A720" s="157">
        <v>44271</v>
      </c>
      <c r="B720" s="158">
        <v>21193.46</v>
      </c>
      <c r="C720"/>
      <c r="D720" s="160"/>
    </row>
    <row r="721" spans="1:4" x14ac:dyDescent="0.3">
      <c r="A721" s="157">
        <v>44270</v>
      </c>
      <c r="B721" s="158">
        <v>21220.59</v>
      </c>
      <c r="C721"/>
      <c r="D721" s="160"/>
    </row>
    <row r="722" spans="1:4" x14ac:dyDescent="0.3">
      <c r="A722" s="157">
        <v>44267</v>
      </c>
      <c r="B722" s="158">
        <v>21361.29</v>
      </c>
      <c r="C722"/>
      <c r="D722" s="160"/>
    </row>
    <row r="723" spans="1:4" x14ac:dyDescent="0.3">
      <c r="A723" s="157">
        <v>44265</v>
      </c>
      <c r="B723" s="158">
        <v>21565.72</v>
      </c>
      <c r="C723"/>
      <c r="D723" s="160"/>
    </row>
    <row r="724" spans="1:4" x14ac:dyDescent="0.3">
      <c r="A724" s="157">
        <v>44264</v>
      </c>
      <c r="B724" s="158">
        <v>21457.17</v>
      </c>
      <c r="C724"/>
      <c r="D724" s="160"/>
    </row>
    <row r="725" spans="1:4" x14ac:dyDescent="0.3">
      <c r="A725" s="157">
        <v>44263</v>
      </c>
      <c r="B725" s="158">
        <v>21255.06</v>
      </c>
      <c r="C725"/>
      <c r="D725" s="160"/>
    </row>
    <row r="726" spans="1:4" x14ac:dyDescent="0.3">
      <c r="A726" s="157">
        <v>44260</v>
      </c>
      <c r="B726" s="158">
        <v>21225.94</v>
      </c>
      <c r="C726"/>
      <c r="D726" s="160"/>
    </row>
    <row r="727" spans="1:4" x14ac:dyDescent="0.3">
      <c r="A727" s="157">
        <v>44259</v>
      </c>
      <c r="B727" s="158">
        <v>21428.63</v>
      </c>
      <c r="C727"/>
      <c r="D727" s="160"/>
    </row>
    <row r="728" spans="1:4" x14ac:dyDescent="0.3">
      <c r="A728" s="157">
        <v>44258</v>
      </c>
      <c r="B728" s="158">
        <v>21662.92</v>
      </c>
      <c r="C728"/>
      <c r="D728" s="160"/>
    </row>
    <row r="729" spans="1:4" x14ac:dyDescent="0.3">
      <c r="A729" s="157">
        <v>44257</v>
      </c>
      <c r="B729" s="158">
        <v>21198.93</v>
      </c>
      <c r="C729"/>
      <c r="D729" s="160"/>
    </row>
    <row r="730" spans="1:4" x14ac:dyDescent="0.3">
      <c r="A730" s="157">
        <v>44256</v>
      </c>
      <c r="B730" s="158">
        <v>20975.08</v>
      </c>
      <c r="C730"/>
      <c r="D730" s="160"/>
    </row>
    <row r="731" spans="1:4" x14ac:dyDescent="0.3">
      <c r="A731" s="157">
        <v>44253</v>
      </c>
      <c r="B731" s="158">
        <v>20644.88</v>
      </c>
      <c r="C731"/>
      <c r="D731" s="160"/>
    </row>
    <row r="732" spans="1:4" x14ac:dyDescent="0.3">
      <c r="A732" s="157">
        <v>44252</v>
      </c>
      <c r="B732" s="158">
        <v>21452.240000000002</v>
      </c>
      <c r="C732"/>
      <c r="D732" s="160"/>
    </row>
    <row r="733" spans="1:4" x14ac:dyDescent="0.3">
      <c r="A733" s="157">
        <v>44251</v>
      </c>
      <c r="B733" s="158">
        <v>21288.35</v>
      </c>
      <c r="C733"/>
      <c r="D733" s="160"/>
    </row>
    <row r="734" spans="1:4" x14ac:dyDescent="0.3">
      <c r="A734" s="157">
        <v>44250</v>
      </c>
      <c r="B734" s="158">
        <v>20898.75</v>
      </c>
      <c r="C734"/>
      <c r="D734" s="160"/>
    </row>
    <row r="735" spans="1:4" x14ac:dyDescent="0.3">
      <c r="A735" s="157">
        <v>44249</v>
      </c>
      <c r="B735" s="158">
        <v>20853.12</v>
      </c>
      <c r="C735"/>
      <c r="D735" s="160"/>
    </row>
    <row r="736" spans="1:4" x14ac:dyDescent="0.3">
      <c r="A736" s="157">
        <v>44246</v>
      </c>
      <c r="B736" s="158">
        <v>21273.279999999999</v>
      </c>
      <c r="C736"/>
      <c r="D736" s="160"/>
    </row>
    <row r="737" spans="1:4" x14ac:dyDescent="0.3">
      <c r="A737" s="157">
        <v>44245</v>
      </c>
      <c r="B737" s="158">
        <v>21468.11</v>
      </c>
      <c r="C737"/>
      <c r="D737" s="160"/>
    </row>
    <row r="738" spans="1:4" x14ac:dyDescent="0.3">
      <c r="A738" s="157">
        <v>44244</v>
      </c>
      <c r="B738" s="158">
        <v>21595.82</v>
      </c>
      <c r="C738"/>
      <c r="D738" s="160"/>
    </row>
    <row r="739" spans="1:4" x14ac:dyDescent="0.3">
      <c r="A739" s="157">
        <v>44243</v>
      </c>
      <c r="B739" s="158">
        <v>21737.9</v>
      </c>
      <c r="C739"/>
      <c r="D739" s="160"/>
    </row>
    <row r="740" spans="1:4" x14ac:dyDescent="0.3">
      <c r="A740" s="157">
        <v>44242</v>
      </c>
      <c r="B740" s="158">
        <v>21739.69</v>
      </c>
      <c r="C740"/>
      <c r="D740" s="160"/>
    </row>
    <row r="741" spans="1:4" x14ac:dyDescent="0.3">
      <c r="A741" s="157">
        <v>44239</v>
      </c>
      <c r="B741" s="158">
        <v>21521.82</v>
      </c>
      <c r="C741"/>
      <c r="D741" s="160"/>
    </row>
    <row r="742" spans="1:4" x14ac:dyDescent="0.3">
      <c r="A742" s="157">
        <v>44238</v>
      </c>
      <c r="B742" s="158">
        <v>21536</v>
      </c>
      <c r="C742"/>
      <c r="D742" s="160"/>
    </row>
    <row r="743" spans="1:4" x14ac:dyDescent="0.3">
      <c r="A743" s="157">
        <v>44237</v>
      </c>
      <c r="B743" s="158">
        <v>21436.44</v>
      </c>
      <c r="C743"/>
      <c r="D743" s="160"/>
    </row>
    <row r="744" spans="1:4" x14ac:dyDescent="0.3">
      <c r="A744" s="157">
        <v>44236</v>
      </c>
      <c r="B744" s="158">
        <v>21440.42</v>
      </c>
      <c r="C744"/>
      <c r="D744" s="160"/>
    </row>
    <row r="745" spans="1:4" x14ac:dyDescent="0.3">
      <c r="A745" s="157">
        <v>44235</v>
      </c>
      <c r="B745" s="158">
        <v>21447.64</v>
      </c>
      <c r="C745"/>
      <c r="D745" s="160"/>
    </row>
    <row r="746" spans="1:4" x14ac:dyDescent="0.3">
      <c r="A746" s="157">
        <v>44232</v>
      </c>
      <c r="B746" s="158">
        <v>21175.89</v>
      </c>
      <c r="C746"/>
      <c r="D746" s="160"/>
    </row>
    <row r="747" spans="1:4" x14ac:dyDescent="0.3">
      <c r="A747" s="157">
        <v>44231</v>
      </c>
      <c r="B747" s="158">
        <v>21135.31</v>
      </c>
      <c r="C747"/>
      <c r="D747" s="160"/>
    </row>
    <row r="748" spans="1:4" x14ac:dyDescent="0.3">
      <c r="A748" s="157">
        <v>44230</v>
      </c>
      <c r="B748" s="158">
        <v>20985.32</v>
      </c>
      <c r="C748"/>
      <c r="D748" s="160"/>
    </row>
    <row r="749" spans="1:4" x14ac:dyDescent="0.3">
      <c r="A749" s="157">
        <v>44229</v>
      </c>
      <c r="B749" s="158">
        <v>20783.689999999999</v>
      </c>
      <c r="C749"/>
      <c r="D749" s="160"/>
    </row>
    <row r="750" spans="1:4" x14ac:dyDescent="0.3">
      <c r="A750" s="157">
        <v>44228</v>
      </c>
      <c r="B750" s="158">
        <v>20263.439999999999</v>
      </c>
      <c r="C750"/>
      <c r="D750" s="160"/>
    </row>
    <row r="751" spans="1:4" x14ac:dyDescent="0.3">
      <c r="A751" s="157">
        <v>44225</v>
      </c>
      <c r="B751" s="158">
        <v>19346.03</v>
      </c>
      <c r="C751"/>
      <c r="D751" s="160"/>
    </row>
    <row r="752" spans="1:4" x14ac:dyDescent="0.3">
      <c r="A752" s="157">
        <v>44224</v>
      </c>
      <c r="B752" s="158">
        <v>19605.59</v>
      </c>
      <c r="C752"/>
      <c r="D752" s="160"/>
    </row>
    <row r="753" spans="1:4" x14ac:dyDescent="0.3">
      <c r="A753" s="157">
        <v>44223</v>
      </c>
      <c r="B753" s="158">
        <v>19818.34</v>
      </c>
      <c r="C753"/>
      <c r="D753" s="160"/>
    </row>
    <row r="754" spans="1:4" x14ac:dyDescent="0.3">
      <c r="A754" s="157">
        <v>44221</v>
      </c>
      <c r="B754" s="158">
        <v>20201.900000000001</v>
      </c>
      <c r="C754"/>
      <c r="D754" s="160"/>
    </row>
    <row r="755" spans="1:4" x14ac:dyDescent="0.3">
      <c r="A755" s="157">
        <v>44218</v>
      </c>
      <c r="B755" s="158">
        <v>20390.57</v>
      </c>
      <c r="C755"/>
      <c r="D755" s="160"/>
    </row>
    <row r="756" spans="1:4" x14ac:dyDescent="0.3">
      <c r="A756" s="157">
        <v>44217</v>
      </c>
      <c r="B756" s="158">
        <v>20700.02</v>
      </c>
      <c r="C756"/>
      <c r="D756" s="160"/>
    </row>
    <row r="757" spans="1:4" x14ac:dyDescent="0.3">
      <c r="A757" s="157">
        <v>44216</v>
      </c>
      <c r="B757" s="158">
        <v>20775.669999999998</v>
      </c>
      <c r="C757"/>
      <c r="D757" s="160"/>
    </row>
    <row r="758" spans="1:4" x14ac:dyDescent="0.3">
      <c r="A758" s="157">
        <v>44215</v>
      </c>
      <c r="B758" s="158">
        <v>20600.41</v>
      </c>
      <c r="C758"/>
      <c r="D758" s="160"/>
    </row>
    <row r="759" spans="1:4" x14ac:dyDescent="0.3">
      <c r="A759" s="157">
        <v>44214</v>
      </c>
      <c r="B759" s="158">
        <v>20260.18</v>
      </c>
      <c r="C759"/>
      <c r="D759" s="160"/>
    </row>
    <row r="760" spans="1:4" x14ac:dyDescent="0.3">
      <c r="A760" s="157">
        <v>44211</v>
      </c>
      <c r="B760" s="158">
        <v>20476.38</v>
      </c>
      <c r="C760"/>
      <c r="D760" s="160"/>
    </row>
    <row r="761" spans="1:4" x14ac:dyDescent="0.3">
      <c r="A761" s="157">
        <v>44210</v>
      </c>
      <c r="B761" s="158">
        <v>20706.07</v>
      </c>
      <c r="C761"/>
      <c r="D761" s="160"/>
    </row>
    <row r="762" spans="1:4" x14ac:dyDescent="0.3">
      <c r="A762" s="157">
        <v>44209</v>
      </c>
      <c r="B762" s="158">
        <v>20660.349999999999</v>
      </c>
      <c r="C762"/>
      <c r="D762" s="160"/>
    </row>
    <row r="763" spans="1:4" x14ac:dyDescent="0.3">
      <c r="A763" s="157">
        <v>44208</v>
      </c>
      <c r="B763" s="158">
        <v>20658.34</v>
      </c>
      <c r="C763"/>
      <c r="D763" s="160"/>
    </row>
    <row r="764" spans="1:4" x14ac:dyDescent="0.3">
      <c r="A764" s="157">
        <v>44207</v>
      </c>
      <c r="B764" s="158">
        <v>20546.740000000002</v>
      </c>
      <c r="C764"/>
      <c r="D764" s="160"/>
    </row>
    <row r="765" spans="1:4" x14ac:dyDescent="0.3">
      <c r="A765" s="157">
        <v>44204</v>
      </c>
      <c r="B765" s="158">
        <v>20351.669999999998</v>
      </c>
      <c r="C765"/>
      <c r="D765" s="160"/>
    </row>
    <row r="766" spans="1:4" x14ac:dyDescent="0.3">
      <c r="A766" s="157">
        <v>44203</v>
      </c>
      <c r="B766" s="158">
        <v>20053.97</v>
      </c>
      <c r="C766"/>
      <c r="D766" s="160"/>
    </row>
    <row r="767" spans="1:4" x14ac:dyDescent="0.3">
      <c r="A767" s="157">
        <v>44202</v>
      </c>
      <c r="B767" s="158">
        <v>20066.560000000001</v>
      </c>
      <c r="C767"/>
      <c r="D767" s="160"/>
    </row>
    <row r="768" spans="1:4" x14ac:dyDescent="0.3">
      <c r="A768" s="157">
        <v>44201</v>
      </c>
      <c r="B768" s="158">
        <v>20142.13</v>
      </c>
      <c r="C768"/>
      <c r="D768" s="160"/>
    </row>
    <row r="769" spans="1:4" x14ac:dyDescent="0.3">
      <c r="A769" s="157">
        <v>44200</v>
      </c>
      <c r="B769" s="158">
        <v>20047.61</v>
      </c>
      <c r="C769"/>
      <c r="D769" s="160"/>
    </row>
    <row r="770" spans="1:4" x14ac:dyDescent="0.3">
      <c r="A770" s="157">
        <v>44197</v>
      </c>
      <c r="B770" s="158">
        <v>19885.36</v>
      </c>
      <c r="C770"/>
      <c r="D770" s="160"/>
    </row>
    <row r="771" spans="1:4" x14ac:dyDescent="0.3">
      <c r="A771" s="157">
        <v>44196</v>
      </c>
      <c r="B771" s="158">
        <v>19833.189999999999</v>
      </c>
      <c r="C771"/>
      <c r="D771" s="160"/>
    </row>
    <row r="772" spans="1:4" x14ac:dyDescent="0.3">
      <c r="A772" s="157">
        <v>44195</v>
      </c>
      <c r="B772" s="158">
        <v>19833.53</v>
      </c>
      <c r="C772"/>
      <c r="D772" s="160"/>
    </row>
    <row r="773" spans="1:4" x14ac:dyDescent="0.3">
      <c r="A773" s="157">
        <v>44194</v>
      </c>
      <c r="B773" s="158">
        <v>19763.509999999998</v>
      </c>
      <c r="C773"/>
      <c r="D773" s="160"/>
    </row>
    <row r="774" spans="1:4" x14ac:dyDescent="0.3">
      <c r="A774" s="157">
        <v>44193</v>
      </c>
      <c r="B774" s="158">
        <v>19679.240000000002</v>
      </c>
      <c r="C774"/>
      <c r="D774" s="160"/>
    </row>
    <row r="775" spans="1:4" x14ac:dyDescent="0.3">
      <c r="A775" s="157">
        <v>44189</v>
      </c>
      <c r="B775" s="158">
        <v>19503.400000000001</v>
      </c>
      <c r="C775"/>
      <c r="D775" s="160"/>
    </row>
    <row r="776" spans="1:4" x14ac:dyDescent="0.3">
      <c r="A776" s="157">
        <v>44188</v>
      </c>
      <c r="B776" s="158">
        <v>19293.259999999998</v>
      </c>
      <c r="C776"/>
      <c r="D776" s="160"/>
    </row>
    <row r="777" spans="1:4" x14ac:dyDescent="0.3">
      <c r="A777" s="157">
        <v>44187</v>
      </c>
      <c r="B777" s="158">
        <v>19102.060000000001</v>
      </c>
      <c r="C777"/>
      <c r="D777" s="160"/>
    </row>
    <row r="778" spans="1:4" x14ac:dyDescent="0.3">
      <c r="A778" s="157">
        <v>44186</v>
      </c>
      <c r="B778" s="158">
        <v>18906.45</v>
      </c>
      <c r="C778"/>
      <c r="D778" s="160"/>
    </row>
    <row r="779" spans="1:4" x14ac:dyDescent="0.3">
      <c r="A779" s="157">
        <v>44183</v>
      </c>
      <c r="B779" s="158">
        <v>19519.419999999998</v>
      </c>
      <c r="C779"/>
      <c r="D779" s="160"/>
    </row>
    <row r="780" spans="1:4" x14ac:dyDescent="0.3">
      <c r="A780" s="157">
        <v>44182</v>
      </c>
      <c r="B780" s="158">
        <v>19491.3</v>
      </c>
      <c r="C780"/>
      <c r="D780" s="160"/>
    </row>
    <row r="781" spans="1:4" x14ac:dyDescent="0.3">
      <c r="A781" s="157">
        <v>44181</v>
      </c>
      <c r="B781" s="158">
        <v>19404.8</v>
      </c>
      <c r="C781"/>
      <c r="D781" s="160"/>
    </row>
    <row r="782" spans="1:4" x14ac:dyDescent="0.3">
      <c r="A782" s="157">
        <v>44180</v>
      </c>
      <c r="B782" s="158">
        <v>19241.900000000001</v>
      </c>
      <c r="C782"/>
      <c r="D782" s="160"/>
    </row>
    <row r="783" spans="1:4" x14ac:dyDescent="0.3">
      <c r="A783" s="157">
        <v>44179</v>
      </c>
      <c r="B783" s="158">
        <v>19228.16</v>
      </c>
      <c r="C783"/>
      <c r="D783" s="160"/>
    </row>
    <row r="784" spans="1:4" x14ac:dyDescent="0.3">
      <c r="A784" s="157">
        <v>44176</v>
      </c>
      <c r="B784" s="158">
        <v>19165.330000000002</v>
      </c>
      <c r="C784"/>
      <c r="D784" s="160"/>
    </row>
    <row r="785" spans="1:4" x14ac:dyDescent="0.3">
      <c r="A785" s="157">
        <v>44175</v>
      </c>
      <c r="B785" s="158">
        <v>19114.96</v>
      </c>
      <c r="C785"/>
      <c r="D785" s="160"/>
    </row>
    <row r="786" spans="1:4" x14ac:dyDescent="0.3">
      <c r="A786" s="157">
        <v>44174</v>
      </c>
      <c r="B786" s="158">
        <v>19186.95</v>
      </c>
      <c r="C786"/>
      <c r="D786" s="160"/>
    </row>
    <row r="787" spans="1:4" x14ac:dyDescent="0.3">
      <c r="A787" s="157">
        <v>44173</v>
      </c>
      <c r="B787" s="158">
        <v>18993.86</v>
      </c>
      <c r="C787"/>
      <c r="D787" s="160"/>
    </row>
    <row r="788" spans="1:4" x14ac:dyDescent="0.3">
      <c r="A788" s="157">
        <v>44172</v>
      </c>
      <c r="B788" s="158">
        <v>18941.150000000001</v>
      </c>
      <c r="C788"/>
      <c r="D788" s="160"/>
    </row>
    <row r="789" spans="1:4" x14ac:dyDescent="0.3">
      <c r="A789" s="157">
        <v>44169</v>
      </c>
      <c r="B789" s="158">
        <v>18803.27</v>
      </c>
      <c r="C789"/>
      <c r="D789" s="160"/>
    </row>
    <row r="790" spans="1:4" x14ac:dyDescent="0.3">
      <c r="A790" s="157">
        <v>44168</v>
      </c>
      <c r="B790" s="158">
        <v>18626.53</v>
      </c>
      <c r="C790"/>
      <c r="D790" s="160"/>
    </row>
    <row r="791" spans="1:4" x14ac:dyDescent="0.3">
      <c r="A791" s="157">
        <v>44167</v>
      </c>
      <c r="B791" s="158">
        <v>18597.900000000001</v>
      </c>
      <c r="C791"/>
      <c r="D791" s="160"/>
    </row>
    <row r="792" spans="1:4" x14ac:dyDescent="0.3">
      <c r="A792" s="157">
        <v>44166</v>
      </c>
      <c r="B792" s="158">
        <v>18591.25</v>
      </c>
      <c r="C792"/>
      <c r="D792" s="160"/>
    </row>
    <row r="793" spans="1:4" x14ac:dyDescent="0.3">
      <c r="A793" s="157">
        <v>44162</v>
      </c>
      <c r="B793" s="158">
        <v>18392.54</v>
      </c>
      <c r="C793"/>
      <c r="D793" s="160"/>
    </row>
    <row r="794" spans="1:4" x14ac:dyDescent="0.3">
      <c r="A794" s="157">
        <v>44161</v>
      </c>
      <c r="B794" s="158">
        <v>18418.16</v>
      </c>
      <c r="C794"/>
      <c r="D794" s="160"/>
    </row>
    <row r="795" spans="1:4" x14ac:dyDescent="0.3">
      <c r="A795" s="157">
        <v>44160</v>
      </c>
      <c r="B795" s="158">
        <v>18235.759999999998</v>
      </c>
      <c r="C795"/>
      <c r="D795" s="160"/>
    </row>
    <row r="796" spans="1:4" x14ac:dyDescent="0.3">
      <c r="A796" s="157">
        <v>44159</v>
      </c>
      <c r="B796" s="158">
        <v>18514.82</v>
      </c>
      <c r="C796"/>
      <c r="D796" s="160"/>
    </row>
    <row r="797" spans="1:4" x14ac:dyDescent="0.3">
      <c r="A797" s="157">
        <v>44158</v>
      </c>
      <c r="B797" s="158">
        <v>18332.330000000002</v>
      </c>
      <c r="C797"/>
      <c r="D797" s="160"/>
    </row>
    <row r="798" spans="1:4" x14ac:dyDescent="0.3">
      <c r="A798" s="157">
        <v>44155</v>
      </c>
      <c r="B798" s="158">
        <v>18236.68</v>
      </c>
      <c r="C798"/>
      <c r="D798" s="160"/>
    </row>
    <row r="799" spans="1:4" x14ac:dyDescent="0.3">
      <c r="A799" s="157">
        <v>44154</v>
      </c>
      <c r="B799" s="158">
        <v>18112.830000000002</v>
      </c>
      <c r="C799"/>
      <c r="D799" s="160"/>
    </row>
    <row r="800" spans="1:4" x14ac:dyDescent="0.3">
      <c r="A800" s="157">
        <v>44153</v>
      </c>
      <c r="B800" s="158">
        <v>18349.02</v>
      </c>
      <c r="C800"/>
      <c r="D800" s="160"/>
    </row>
    <row r="801" spans="1:4" x14ac:dyDescent="0.3">
      <c r="A801" s="157">
        <v>44152</v>
      </c>
      <c r="B801" s="158">
        <v>18258.23</v>
      </c>
      <c r="C801"/>
      <c r="D801" s="160"/>
    </row>
    <row r="802" spans="1:4" x14ac:dyDescent="0.3">
      <c r="A802" s="157">
        <v>44149</v>
      </c>
      <c r="B802" s="158">
        <v>18124.93</v>
      </c>
      <c r="C802"/>
      <c r="D802" s="160"/>
    </row>
    <row r="803" spans="1:4" x14ac:dyDescent="0.3">
      <c r="A803" s="157">
        <v>44148</v>
      </c>
      <c r="B803" s="158">
        <v>18039.439999999999</v>
      </c>
      <c r="C803"/>
      <c r="D803" s="160"/>
    </row>
    <row r="804" spans="1:4" x14ac:dyDescent="0.3">
      <c r="A804" s="157">
        <v>44147</v>
      </c>
      <c r="B804" s="158">
        <v>17998.11</v>
      </c>
      <c r="C804"/>
      <c r="D804" s="160"/>
    </row>
    <row r="805" spans="1:4" x14ac:dyDescent="0.3">
      <c r="A805" s="157">
        <v>44146</v>
      </c>
      <c r="B805" s="158">
        <v>18080.84</v>
      </c>
      <c r="C805"/>
      <c r="D805" s="160"/>
    </row>
    <row r="806" spans="1:4" x14ac:dyDescent="0.3">
      <c r="A806" s="157">
        <v>44145</v>
      </c>
      <c r="B806" s="158">
        <v>17913.400000000001</v>
      </c>
      <c r="C806"/>
      <c r="D806" s="160"/>
    </row>
    <row r="807" spans="1:4" x14ac:dyDescent="0.3">
      <c r="A807" s="157">
        <v>44144</v>
      </c>
      <c r="B807" s="158">
        <v>17672.25</v>
      </c>
      <c r="C807"/>
      <c r="D807" s="160"/>
    </row>
    <row r="808" spans="1:4" x14ac:dyDescent="0.3">
      <c r="A808" s="157">
        <v>44141</v>
      </c>
      <c r="B808" s="158">
        <v>17392.14</v>
      </c>
      <c r="C808"/>
      <c r="D808" s="160"/>
    </row>
    <row r="809" spans="1:4" x14ac:dyDescent="0.3">
      <c r="A809" s="157">
        <v>44140</v>
      </c>
      <c r="B809" s="158">
        <v>17189.03</v>
      </c>
      <c r="C809"/>
      <c r="D809" s="160"/>
    </row>
    <row r="810" spans="1:4" x14ac:dyDescent="0.3">
      <c r="A810" s="157">
        <v>44139</v>
      </c>
      <c r="B810" s="158">
        <v>16888.650000000001</v>
      </c>
      <c r="C810"/>
      <c r="D810" s="160"/>
    </row>
    <row r="811" spans="1:4" x14ac:dyDescent="0.3">
      <c r="A811" s="157">
        <v>44138</v>
      </c>
      <c r="B811" s="158">
        <v>16746.75</v>
      </c>
      <c r="C811"/>
      <c r="D811" s="160"/>
    </row>
    <row r="812" spans="1:4" x14ac:dyDescent="0.3">
      <c r="A812" s="157">
        <v>44137</v>
      </c>
      <c r="B812" s="158">
        <v>16542.080000000002</v>
      </c>
      <c r="C812"/>
      <c r="D812" s="160"/>
    </row>
    <row r="813" spans="1:4" x14ac:dyDescent="0.3">
      <c r="A813" s="157">
        <v>44134</v>
      </c>
      <c r="B813" s="158">
        <v>16504.16</v>
      </c>
      <c r="C813"/>
      <c r="D813" s="160"/>
    </row>
    <row r="814" spans="1:4" x14ac:dyDescent="0.3">
      <c r="A814" s="157">
        <v>44133</v>
      </c>
      <c r="B814" s="158">
        <v>16544.45</v>
      </c>
      <c r="C814"/>
      <c r="D814" s="160"/>
    </row>
    <row r="815" spans="1:4" x14ac:dyDescent="0.3">
      <c r="A815" s="157">
        <v>44132</v>
      </c>
      <c r="B815" s="158">
        <v>16623.13</v>
      </c>
      <c r="C815"/>
      <c r="D815" s="160"/>
    </row>
    <row r="816" spans="1:4" x14ac:dyDescent="0.3">
      <c r="A816" s="157">
        <v>44131</v>
      </c>
      <c r="B816" s="158">
        <v>16844.96</v>
      </c>
      <c r="C816"/>
      <c r="D816" s="160"/>
    </row>
    <row r="817" spans="1:4" x14ac:dyDescent="0.3">
      <c r="A817" s="157">
        <v>44130</v>
      </c>
      <c r="B817" s="158">
        <v>16672.62</v>
      </c>
      <c r="C817"/>
      <c r="D817" s="160"/>
    </row>
    <row r="818" spans="1:4" x14ac:dyDescent="0.3">
      <c r="A818" s="157">
        <v>44127</v>
      </c>
      <c r="B818" s="158">
        <v>16902.96</v>
      </c>
      <c r="C818"/>
      <c r="D818" s="160"/>
    </row>
    <row r="819" spans="1:4" x14ac:dyDescent="0.3">
      <c r="A819" s="157">
        <v>44126</v>
      </c>
      <c r="B819" s="158">
        <v>16840.52</v>
      </c>
      <c r="C819"/>
      <c r="D819" s="160"/>
    </row>
    <row r="820" spans="1:4" x14ac:dyDescent="0.3">
      <c r="A820" s="157">
        <v>44125</v>
      </c>
      <c r="B820" s="158">
        <v>16897.43</v>
      </c>
      <c r="C820"/>
      <c r="D820" s="160"/>
    </row>
    <row r="821" spans="1:4" x14ac:dyDescent="0.3">
      <c r="A821" s="157">
        <v>44124</v>
      </c>
      <c r="B821" s="158">
        <v>16839.599999999999</v>
      </c>
      <c r="C821"/>
      <c r="D821" s="160"/>
    </row>
    <row r="822" spans="1:4" x14ac:dyDescent="0.3">
      <c r="A822" s="157">
        <v>44123</v>
      </c>
      <c r="B822" s="158">
        <v>16805.97</v>
      </c>
      <c r="C822"/>
      <c r="D822" s="160"/>
    </row>
    <row r="823" spans="1:4" x14ac:dyDescent="0.3">
      <c r="A823" s="157">
        <v>44120</v>
      </c>
      <c r="B823" s="158">
        <v>16649.46</v>
      </c>
      <c r="C823"/>
      <c r="D823" s="160"/>
    </row>
    <row r="824" spans="1:4" x14ac:dyDescent="0.3">
      <c r="A824" s="157">
        <v>44119</v>
      </c>
      <c r="B824" s="158">
        <v>16533.240000000002</v>
      </c>
      <c r="C824"/>
      <c r="D824" s="160"/>
    </row>
    <row r="825" spans="1:4" x14ac:dyDescent="0.3">
      <c r="A825" s="157">
        <v>44118</v>
      </c>
      <c r="B825" s="158">
        <v>16944.73</v>
      </c>
      <c r="C825"/>
      <c r="D825" s="160"/>
    </row>
    <row r="826" spans="1:4" x14ac:dyDescent="0.3">
      <c r="A826" s="157">
        <v>44117</v>
      </c>
      <c r="B826" s="158">
        <v>16888.87</v>
      </c>
      <c r="C826"/>
      <c r="D826" s="160"/>
    </row>
    <row r="827" spans="1:4" x14ac:dyDescent="0.3">
      <c r="A827" s="157">
        <v>44116</v>
      </c>
      <c r="B827" s="158">
        <v>16883.84</v>
      </c>
      <c r="C827"/>
      <c r="D827" s="160"/>
    </row>
    <row r="828" spans="1:4" x14ac:dyDescent="0.3">
      <c r="A828" s="157">
        <v>44113</v>
      </c>
      <c r="B828" s="158">
        <v>16860.11</v>
      </c>
      <c r="C828"/>
      <c r="D828" s="160"/>
    </row>
    <row r="829" spans="1:4" x14ac:dyDescent="0.3">
      <c r="A829" s="157">
        <v>44112</v>
      </c>
      <c r="B829" s="158">
        <v>16747.48</v>
      </c>
      <c r="C829"/>
      <c r="D829" s="160"/>
    </row>
    <row r="830" spans="1:4" x14ac:dyDescent="0.3">
      <c r="A830" s="157">
        <v>44111</v>
      </c>
      <c r="B830" s="158">
        <v>16611.96</v>
      </c>
      <c r="C830"/>
      <c r="D830" s="160"/>
    </row>
    <row r="831" spans="1:4" x14ac:dyDescent="0.3">
      <c r="A831" s="157">
        <v>44110</v>
      </c>
      <c r="B831" s="158">
        <v>16503.77</v>
      </c>
      <c r="C831"/>
      <c r="D831" s="160"/>
    </row>
    <row r="832" spans="1:4" x14ac:dyDescent="0.3">
      <c r="A832" s="157">
        <v>44109</v>
      </c>
      <c r="B832" s="158">
        <v>16278.72</v>
      </c>
      <c r="C832"/>
      <c r="D832" s="160"/>
    </row>
    <row r="833" spans="1:4" x14ac:dyDescent="0.3">
      <c r="A833" s="157">
        <v>44105</v>
      </c>
      <c r="B833" s="158">
        <v>16156.44</v>
      </c>
      <c r="C833"/>
      <c r="D833" s="160"/>
    </row>
    <row r="834" spans="1:4" x14ac:dyDescent="0.3">
      <c r="A834" s="157">
        <v>44104</v>
      </c>
      <c r="B834" s="158">
        <v>15916.72</v>
      </c>
      <c r="C834"/>
      <c r="D834" s="160"/>
    </row>
    <row r="835" spans="1:4" x14ac:dyDescent="0.3">
      <c r="A835" s="157">
        <v>44103</v>
      </c>
      <c r="B835" s="158">
        <v>15881.16</v>
      </c>
      <c r="C835"/>
      <c r="D835" s="160"/>
    </row>
    <row r="836" spans="1:4" x14ac:dyDescent="0.3">
      <c r="A836" s="157">
        <v>44102</v>
      </c>
      <c r="B836" s="158">
        <v>15888.44</v>
      </c>
      <c r="C836"/>
      <c r="D836" s="160"/>
    </row>
    <row r="837" spans="1:4" x14ac:dyDescent="0.3">
      <c r="A837" s="157">
        <v>44099</v>
      </c>
      <c r="B837" s="158">
        <v>15637.53</v>
      </c>
      <c r="C837"/>
      <c r="D837" s="160"/>
    </row>
    <row r="838" spans="1:4" x14ac:dyDescent="0.3">
      <c r="A838" s="157">
        <v>44098</v>
      </c>
      <c r="B838" s="158">
        <v>15291.25</v>
      </c>
      <c r="C838"/>
      <c r="D838" s="160"/>
    </row>
    <row r="839" spans="1:4" x14ac:dyDescent="0.3">
      <c r="A839" s="157">
        <v>44097</v>
      </c>
      <c r="B839" s="158">
        <v>15752.97</v>
      </c>
      <c r="C839"/>
      <c r="D839" s="160"/>
    </row>
    <row r="840" spans="1:4" x14ac:dyDescent="0.3">
      <c r="A840" s="157">
        <v>44096</v>
      </c>
      <c r="B840" s="158">
        <v>15783.87</v>
      </c>
      <c r="C840"/>
      <c r="D840" s="160"/>
    </row>
    <row r="841" spans="1:4" x14ac:dyDescent="0.3">
      <c r="A841" s="157">
        <v>44095</v>
      </c>
      <c r="B841" s="158">
        <v>15920.99</v>
      </c>
      <c r="C841"/>
      <c r="D841" s="160"/>
    </row>
    <row r="842" spans="1:4" x14ac:dyDescent="0.3">
      <c r="A842" s="157">
        <v>44092</v>
      </c>
      <c r="B842" s="158">
        <v>16281</v>
      </c>
      <c r="C842"/>
      <c r="D842" s="160"/>
    </row>
    <row r="843" spans="1:4" x14ac:dyDescent="0.3">
      <c r="A843" s="157">
        <v>44091</v>
      </c>
      <c r="B843" s="158">
        <v>16296.78</v>
      </c>
      <c r="C843"/>
      <c r="D843" s="160"/>
    </row>
    <row r="844" spans="1:4" x14ac:dyDescent="0.3">
      <c r="A844" s="157">
        <v>44090</v>
      </c>
      <c r="B844" s="158">
        <v>16421.95</v>
      </c>
      <c r="C844"/>
      <c r="D844" s="160"/>
    </row>
    <row r="845" spans="1:4" x14ac:dyDescent="0.3">
      <c r="A845" s="157">
        <v>44089</v>
      </c>
      <c r="B845" s="158">
        <v>16304.84</v>
      </c>
      <c r="C845"/>
      <c r="D845" s="160"/>
    </row>
    <row r="846" spans="1:4" x14ac:dyDescent="0.3">
      <c r="A846" s="157">
        <v>44088</v>
      </c>
      <c r="B846" s="158">
        <v>16189.14</v>
      </c>
      <c r="C846"/>
      <c r="D846" s="160"/>
    </row>
    <row r="847" spans="1:4" x14ac:dyDescent="0.3">
      <c r="A847" s="157">
        <v>44085</v>
      </c>
      <c r="B847" s="158">
        <v>16222.92</v>
      </c>
      <c r="C847"/>
      <c r="D847" s="160"/>
    </row>
    <row r="848" spans="1:4" x14ac:dyDescent="0.3">
      <c r="A848" s="157">
        <v>44084</v>
      </c>
      <c r="B848" s="158">
        <v>16201.44</v>
      </c>
      <c r="C848"/>
      <c r="D848" s="160"/>
    </row>
    <row r="849" spans="1:4" x14ac:dyDescent="0.3">
      <c r="A849" s="157">
        <v>44083</v>
      </c>
      <c r="B849" s="158">
        <v>15958.99</v>
      </c>
      <c r="C849"/>
      <c r="D849" s="160"/>
    </row>
    <row r="850" spans="1:4" x14ac:dyDescent="0.3">
      <c r="A850" s="157">
        <v>44082</v>
      </c>
      <c r="B850" s="158">
        <v>16014.67</v>
      </c>
      <c r="C850"/>
      <c r="D850" s="160"/>
    </row>
    <row r="851" spans="1:4" x14ac:dyDescent="0.3">
      <c r="A851" s="157">
        <v>44081</v>
      </c>
      <c r="B851" s="158">
        <v>16068.06</v>
      </c>
      <c r="C851"/>
      <c r="D851" s="160"/>
    </row>
    <row r="852" spans="1:4" x14ac:dyDescent="0.3">
      <c r="A852" s="157">
        <v>44078</v>
      </c>
      <c r="B852" s="158">
        <v>16038.07</v>
      </c>
      <c r="C852"/>
      <c r="D852" s="160"/>
    </row>
    <row r="853" spans="1:4" x14ac:dyDescent="0.3">
      <c r="A853" s="157">
        <v>44077</v>
      </c>
      <c r="B853" s="158">
        <v>16311.99</v>
      </c>
      <c r="C853"/>
      <c r="D853" s="160"/>
    </row>
    <row r="854" spans="1:4" x14ac:dyDescent="0.3">
      <c r="A854" s="157">
        <v>44076</v>
      </c>
      <c r="B854" s="158">
        <v>16322.17</v>
      </c>
      <c r="C854"/>
      <c r="D854" s="160"/>
    </row>
    <row r="855" spans="1:4" x14ac:dyDescent="0.3">
      <c r="A855" s="157">
        <v>44075</v>
      </c>
      <c r="B855" s="158">
        <v>16227.14</v>
      </c>
      <c r="C855"/>
      <c r="D855" s="160"/>
    </row>
    <row r="856" spans="1:4" x14ac:dyDescent="0.3">
      <c r="A856" s="157">
        <v>44074</v>
      </c>
      <c r="B856" s="158">
        <v>16110.07</v>
      </c>
      <c r="C856"/>
      <c r="D856" s="160"/>
    </row>
    <row r="857" spans="1:4" x14ac:dyDescent="0.3">
      <c r="A857" s="157">
        <v>44071</v>
      </c>
      <c r="B857" s="158">
        <v>16478.009999999998</v>
      </c>
      <c r="C857"/>
      <c r="D857" s="160"/>
    </row>
    <row r="858" spans="1:4" x14ac:dyDescent="0.3">
      <c r="A858" s="157">
        <v>44070</v>
      </c>
      <c r="B858" s="158">
        <v>16353.08</v>
      </c>
      <c r="C858"/>
      <c r="D858" s="160"/>
    </row>
    <row r="859" spans="1:4" x14ac:dyDescent="0.3">
      <c r="A859" s="157">
        <v>44069</v>
      </c>
      <c r="B859" s="158">
        <v>16339.41</v>
      </c>
      <c r="C859"/>
      <c r="D859" s="160"/>
    </row>
    <row r="860" spans="1:4" x14ac:dyDescent="0.3">
      <c r="A860" s="157">
        <v>44068</v>
      </c>
      <c r="B860" s="158">
        <v>16226.2</v>
      </c>
      <c r="C860"/>
      <c r="D860" s="160"/>
    </row>
    <row r="861" spans="1:4" x14ac:dyDescent="0.3">
      <c r="A861" s="157">
        <v>44067</v>
      </c>
      <c r="B861" s="158">
        <v>16218.02</v>
      </c>
      <c r="C861"/>
      <c r="D861" s="160"/>
    </row>
    <row r="862" spans="1:4" x14ac:dyDescent="0.3">
      <c r="A862" s="157">
        <v>44064</v>
      </c>
      <c r="B862" s="158">
        <v>16083.84</v>
      </c>
      <c r="C862"/>
      <c r="D862" s="160"/>
    </row>
    <row r="863" spans="1:4" x14ac:dyDescent="0.3">
      <c r="A863" s="157">
        <v>44063</v>
      </c>
      <c r="B863" s="158">
        <v>15999.86</v>
      </c>
      <c r="C863"/>
      <c r="D863" s="160"/>
    </row>
    <row r="864" spans="1:4" x14ac:dyDescent="0.3">
      <c r="A864" s="157">
        <v>44062</v>
      </c>
      <c r="B864" s="158">
        <v>16135.89</v>
      </c>
      <c r="C864"/>
      <c r="D864" s="160"/>
    </row>
    <row r="865" spans="1:4" x14ac:dyDescent="0.3">
      <c r="A865" s="157">
        <v>44061</v>
      </c>
      <c r="B865" s="158">
        <v>16101.86</v>
      </c>
      <c r="C865"/>
      <c r="D865" s="160"/>
    </row>
    <row r="866" spans="1:4" x14ac:dyDescent="0.3">
      <c r="A866" s="157">
        <v>44060</v>
      </c>
      <c r="B866" s="158">
        <v>15906.29</v>
      </c>
      <c r="C866"/>
      <c r="D866" s="160"/>
    </row>
    <row r="867" spans="1:4" x14ac:dyDescent="0.3">
      <c r="A867" s="157">
        <v>44057</v>
      </c>
      <c r="B867" s="158">
        <v>15809.17</v>
      </c>
      <c r="C867"/>
      <c r="D867" s="160"/>
    </row>
    <row r="868" spans="1:4" x14ac:dyDescent="0.3">
      <c r="A868" s="157">
        <v>44056</v>
      </c>
      <c r="B868" s="158">
        <v>15981.73</v>
      </c>
      <c r="C868"/>
      <c r="D868" s="160"/>
    </row>
    <row r="869" spans="1:4" x14ac:dyDescent="0.3">
      <c r="A869" s="157">
        <v>44055</v>
      </c>
      <c r="B869" s="158">
        <v>15986.03</v>
      </c>
      <c r="C869"/>
      <c r="D869" s="160"/>
    </row>
    <row r="870" spans="1:4" x14ac:dyDescent="0.3">
      <c r="A870" s="157">
        <v>44054</v>
      </c>
      <c r="B870" s="158">
        <v>16005.99</v>
      </c>
      <c r="C870"/>
      <c r="D870" s="160"/>
    </row>
    <row r="871" spans="1:4" x14ac:dyDescent="0.3">
      <c r="A871" s="157">
        <v>44053</v>
      </c>
      <c r="B871" s="158">
        <v>15931.97</v>
      </c>
      <c r="C871"/>
      <c r="D871" s="160"/>
    </row>
    <row r="872" spans="1:4" x14ac:dyDescent="0.3">
      <c r="A872" s="157">
        <v>44050</v>
      </c>
      <c r="B872" s="158">
        <v>15852.65</v>
      </c>
      <c r="C872"/>
      <c r="D872" s="160"/>
    </row>
    <row r="873" spans="1:4" x14ac:dyDescent="0.3">
      <c r="A873" s="157">
        <v>44049</v>
      </c>
      <c r="B873" s="158">
        <v>15833.02</v>
      </c>
      <c r="C873"/>
      <c r="D873" s="160"/>
    </row>
    <row r="874" spans="1:4" x14ac:dyDescent="0.3">
      <c r="A874" s="157">
        <v>44048</v>
      </c>
      <c r="B874" s="158">
        <v>15689.69</v>
      </c>
      <c r="C874"/>
      <c r="D874" s="160"/>
    </row>
    <row r="875" spans="1:4" x14ac:dyDescent="0.3">
      <c r="A875" s="157">
        <v>44047</v>
      </c>
      <c r="B875" s="158">
        <v>15676.74</v>
      </c>
      <c r="C875"/>
      <c r="D875" s="160"/>
    </row>
    <row r="876" spans="1:4" x14ac:dyDescent="0.3">
      <c r="A876" s="157">
        <v>44046</v>
      </c>
      <c r="B876" s="158">
        <v>15388.98</v>
      </c>
      <c r="C876"/>
      <c r="D876" s="160"/>
    </row>
    <row r="877" spans="1:4" x14ac:dyDescent="0.3">
      <c r="A877" s="157">
        <v>44043</v>
      </c>
      <c r="B877" s="158">
        <v>15645.34</v>
      </c>
      <c r="C877"/>
      <c r="D877" s="160"/>
    </row>
    <row r="878" spans="1:4" x14ac:dyDescent="0.3">
      <c r="A878" s="157">
        <v>44042</v>
      </c>
      <c r="B878" s="158">
        <v>15685.92</v>
      </c>
      <c r="C878"/>
      <c r="D878" s="160"/>
    </row>
    <row r="879" spans="1:4" x14ac:dyDescent="0.3">
      <c r="A879" s="157">
        <v>44041</v>
      </c>
      <c r="B879" s="158">
        <v>15824.19</v>
      </c>
      <c r="C879"/>
      <c r="D879" s="160"/>
    </row>
    <row r="880" spans="1:4" x14ac:dyDescent="0.3">
      <c r="A880" s="157">
        <v>44040</v>
      </c>
      <c r="B880" s="158">
        <v>15961.7</v>
      </c>
      <c r="C880"/>
      <c r="D880" s="160"/>
    </row>
    <row r="881" spans="1:4" x14ac:dyDescent="0.3">
      <c r="A881" s="157">
        <v>44039</v>
      </c>
      <c r="B881" s="158">
        <v>15723.39</v>
      </c>
      <c r="C881"/>
      <c r="D881" s="160"/>
    </row>
    <row r="882" spans="1:4" x14ac:dyDescent="0.3">
      <c r="A882" s="157">
        <v>44036</v>
      </c>
      <c r="B882" s="158">
        <v>15811.4</v>
      </c>
      <c r="C882"/>
      <c r="D882" s="160"/>
    </row>
    <row r="883" spans="1:4" x14ac:dyDescent="0.3">
      <c r="A883" s="157">
        <v>44035</v>
      </c>
      <c r="B883" s="158">
        <v>15841.48</v>
      </c>
      <c r="C883"/>
      <c r="D883" s="160"/>
    </row>
    <row r="884" spans="1:4" x14ac:dyDescent="0.3">
      <c r="A884" s="157">
        <v>44034</v>
      </c>
      <c r="B884" s="158">
        <v>15722.51</v>
      </c>
      <c r="C884"/>
      <c r="D884" s="160"/>
    </row>
    <row r="885" spans="1:4" x14ac:dyDescent="0.3">
      <c r="A885" s="157">
        <v>44033</v>
      </c>
      <c r="B885" s="158">
        <v>15764.41</v>
      </c>
      <c r="C885"/>
      <c r="D885" s="160"/>
    </row>
    <row r="886" spans="1:4" x14ac:dyDescent="0.3">
      <c r="A886" s="157">
        <v>44032</v>
      </c>
      <c r="B886" s="158">
        <v>15566.56</v>
      </c>
      <c r="C886"/>
      <c r="D886" s="160"/>
    </row>
    <row r="887" spans="1:4" x14ac:dyDescent="0.3">
      <c r="A887" s="157">
        <v>44029</v>
      </c>
      <c r="B887" s="158">
        <v>15396.44</v>
      </c>
      <c r="C887"/>
      <c r="D887" s="160"/>
    </row>
    <row r="888" spans="1:4" x14ac:dyDescent="0.3">
      <c r="A888" s="157">
        <v>44028</v>
      </c>
      <c r="B888" s="158">
        <v>15167.99</v>
      </c>
      <c r="C888"/>
      <c r="D888" s="160"/>
    </row>
    <row r="889" spans="1:4" x14ac:dyDescent="0.3">
      <c r="A889" s="157">
        <v>44027</v>
      </c>
      <c r="B889" s="158">
        <v>14993.52</v>
      </c>
      <c r="C889"/>
      <c r="D889" s="160"/>
    </row>
    <row r="890" spans="1:4" x14ac:dyDescent="0.3">
      <c r="A890" s="157">
        <v>44026</v>
      </c>
      <c r="B890" s="158">
        <v>14978.23</v>
      </c>
      <c r="C890"/>
      <c r="D890" s="160"/>
    </row>
    <row r="891" spans="1:4" x14ac:dyDescent="0.3">
      <c r="A891" s="157">
        <v>44025</v>
      </c>
      <c r="B891" s="158">
        <v>15254.09</v>
      </c>
      <c r="C891"/>
      <c r="D891" s="160"/>
    </row>
    <row r="892" spans="1:4" x14ac:dyDescent="0.3">
      <c r="A892" s="157">
        <v>44022</v>
      </c>
      <c r="B892" s="158">
        <v>15204.13</v>
      </c>
      <c r="C892"/>
      <c r="D892" s="160"/>
    </row>
    <row r="893" spans="1:4" x14ac:dyDescent="0.3">
      <c r="A893" s="157">
        <v>44021</v>
      </c>
      <c r="B893" s="158">
        <v>15268.19</v>
      </c>
      <c r="C893"/>
      <c r="D893" s="160"/>
    </row>
    <row r="894" spans="1:4" x14ac:dyDescent="0.3">
      <c r="A894" s="157">
        <v>44020</v>
      </c>
      <c r="B894" s="158">
        <v>15104.09</v>
      </c>
      <c r="C894"/>
      <c r="D894" s="160"/>
    </row>
    <row r="895" spans="1:4" x14ac:dyDescent="0.3">
      <c r="A895" s="157">
        <v>44019</v>
      </c>
      <c r="B895" s="158">
        <v>15236.58</v>
      </c>
      <c r="C895"/>
      <c r="D895" s="160"/>
    </row>
    <row r="896" spans="1:4" x14ac:dyDescent="0.3">
      <c r="A896" s="157">
        <v>44018</v>
      </c>
      <c r="B896" s="158">
        <v>15185.78</v>
      </c>
      <c r="C896"/>
      <c r="D896" s="160"/>
    </row>
    <row r="897" spans="1:4" x14ac:dyDescent="0.3">
      <c r="A897" s="157">
        <v>44015</v>
      </c>
      <c r="B897" s="158">
        <v>14964.59</v>
      </c>
      <c r="C897"/>
      <c r="D897" s="160"/>
    </row>
    <row r="898" spans="1:4" x14ac:dyDescent="0.3">
      <c r="A898" s="157">
        <v>44014</v>
      </c>
      <c r="B898" s="158">
        <v>14886.06</v>
      </c>
      <c r="C898"/>
      <c r="D898" s="160"/>
    </row>
    <row r="899" spans="1:4" x14ac:dyDescent="0.3">
      <c r="A899" s="157">
        <v>44013</v>
      </c>
      <c r="B899" s="158">
        <v>14707.64</v>
      </c>
      <c r="C899"/>
      <c r="D899" s="160"/>
    </row>
    <row r="900" spans="1:4" x14ac:dyDescent="0.3">
      <c r="A900" s="157">
        <v>44012</v>
      </c>
      <c r="B900" s="158">
        <v>14527.18</v>
      </c>
      <c r="C900"/>
      <c r="D900" s="160"/>
    </row>
    <row r="901" spans="1:4" x14ac:dyDescent="0.3">
      <c r="A901" s="157">
        <v>44011</v>
      </c>
      <c r="B901" s="158">
        <v>14541.76</v>
      </c>
      <c r="C901"/>
      <c r="D901" s="160"/>
    </row>
    <row r="902" spans="1:4" x14ac:dyDescent="0.3">
      <c r="A902" s="157">
        <v>44008</v>
      </c>
      <c r="B902" s="158">
        <v>14641.26</v>
      </c>
      <c r="C902"/>
      <c r="D902" s="160"/>
    </row>
    <row r="903" spans="1:4" x14ac:dyDescent="0.3">
      <c r="A903" s="157">
        <v>44007</v>
      </c>
      <c r="B903" s="158">
        <v>14508.61</v>
      </c>
      <c r="C903"/>
      <c r="D903" s="160"/>
    </row>
    <row r="904" spans="1:4" x14ac:dyDescent="0.3">
      <c r="A904" s="157">
        <v>44006</v>
      </c>
      <c r="B904" s="158">
        <v>14531.72</v>
      </c>
      <c r="C904"/>
      <c r="D904" s="160"/>
    </row>
    <row r="905" spans="1:4" x14ac:dyDescent="0.3">
      <c r="A905" s="157">
        <v>44005</v>
      </c>
      <c r="B905" s="158">
        <v>14765.36</v>
      </c>
      <c r="C905"/>
      <c r="D905" s="160"/>
    </row>
    <row r="906" spans="1:4" x14ac:dyDescent="0.3">
      <c r="A906" s="157">
        <v>44004</v>
      </c>
      <c r="B906" s="158">
        <v>14540.07</v>
      </c>
      <c r="C906"/>
      <c r="D906" s="160"/>
    </row>
    <row r="907" spans="1:4" x14ac:dyDescent="0.3">
      <c r="A907" s="157">
        <v>44001</v>
      </c>
      <c r="B907" s="158">
        <v>14445.87</v>
      </c>
      <c r="C907"/>
      <c r="D907" s="160"/>
    </row>
    <row r="908" spans="1:4" x14ac:dyDescent="0.3">
      <c r="A908" s="157">
        <v>44000</v>
      </c>
      <c r="B908" s="158">
        <v>14227.14</v>
      </c>
      <c r="C908"/>
      <c r="D908" s="160"/>
    </row>
    <row r="909" spans="1:4" x14ac:dyDescent="0.3">
      <c r="A909" s="157">
        <v>43999</v>
      </c>
      <c r="B909" s="158">
        <v>13930.35</v>
      </c>
      <c r="C909"/>
      <c r="D909" s="160"/>
    </row>
    <row r="910" spans="1:4" x14ac:dyDescent="0.3">
      <c r="A910" s="157">
        <v>43998</v>
      </c>
      <c r="B910" s="158">
        <v>13976.63</v>
      </c>
      <c r="C910"/>
      <c r="D910" s="160"/>
    </row>
    <row r="911" spans="1:4" x14ac:dyDescent="0.3">
      <c r="A911" s="157">
        <v>43997</v>
      </c>
      <c r="B911" s="158">
        <v>13835.27</v>
      </c>
      <c r="C911"/>
      <c r="D911" s="160"/>
    </row>
    <row r="912" spans="1:4" x14ac:dyDescent="0.3">
      <c r="A912" s="157">
        <v>43994</v>
      </c>
      <c r="B912" s="158">
        <v>14059.69</v>
      </c>
      <c r="C912"/>
      <c r="D912" s="160"/>
    </row>
    <row r="913" spans="1:4" x14ac:dyDescent="0.3">
      <c r="A913" s="157">
        <v>43993</v>
      </c>
      <c r="B913" s="158">
        <v>13959.73</v>
      </c>
      <c r="C913"/>
      <c r="D913" s="160"/>
    </row>
    <row r="914" spans="1:4" x14ac:dyDescent="0.3">
      <c r="A914" s="157">
        <v>43992</v>
      </c>
      <c r="B914" s="158">
        <v>14260.91</v>
      </c>
      <c r="C914"/>
      <c r="D914" s="160"/>
    </row>
    <row r="915" spans="1:4" x14ac:dyDescent="0.3">
      <c r="A915" s="157">
        <v>43991</v>
      </c>
      <c r="B915" s="158">
        <v>14162.9</v>
      </c>
      <c r="C915"/>
      <c r="D915" s="160"/>
    </row>
    <row r="916" spans="1:4" x14ac:dyDescent="0.3">
      <c r="A916" s="157">
        <v>43990</v>
      </c>
      <c r="B916" s="158">
        <v>14333.2</v>
      </c>
      <c r="C916"/>
      <c r="D916" s="160"/>
    </row>
    <row r="917" spans="1:4" x14ac:dyDescent="0.3">
      <c r="A917" s="157">
        <v>43987</v>
      </c>
      <c r="B917" s="158">
        <v>14297.55</v>
      </c>
      <c r="C917"/>
      <c r="D917" s="160"/>
    </row>
    <row r="918" spans="1:4" x14ac:dyDescent="0.3">
      <c r="A918" s="157">
        <v>43986</v>
      </c>
      <c r="B918" s="158">
        <v>14138.19</v>
      </c>
      <c r="C918"/>
      <c r="D918" s="160"/>
    </row>
    <row r="919" spans="1:4" x14ac:dyDescent="0.3">
      <c r="A919" s="157">
        <v>43985</v>
      </c>
      <c r="B919" s="158">
        <v>14183.95</v>
      </c>
      <c r="C919"/>
      <c r="D919" s="160"/>
    </row>
    <row r="920" spans="1:4" x14ac:dyDescent="0.3">
      <c r="A920" s="157">
        <v>43984</v>
      </c>
      <c r="B920" s="158">
        <v>14065.56</v>
      </c>
      <c r="C920"/>
      <c r="D920" s="160"/>
    </row>
    <row r="921" spans="1:4" x14ac:dyDescent="0.3">
      <c r="A921" s="157">
        <v>43983</v>
      </c>
      <c r="B921" s="158">
        <v>13850</v>
      </c>
      <c r="C921"/>
      <c r="D921" s="160"/>
    </row>
    <row r="922" spans="1:4" x14ac:dyDescent="0.3">
      <c r="A922" s="157">
        <v>43980</v>
      </c>
      <c r="B922" s="158">
        <v>13503.45</v>
      </c>
      <c r="C922"/>
      <c r="D922" s="160"/>
    </row>
    <row r="923" spans="1:4" x14ac:dyDescent="0.3">
      <c r="A923" s="157">
        <v>43979</v>
      </c>
      <c r="B923" s="158">
        <v>13364.65</v>
      </c>
      <c r="C923"/>
      <c r="D923" s="160"/>
    </row>
    <row r="924" spans="1:4" x14ac:dyDescent="0.3">
      <c r="A924" s="157">
        <v>43978</v>
      </c>
      <c r="B924" s="158">
        <v>13117.99</v>
      </c>
      <c r="C924"/>
      <c r="D924" s="160"/>
    </row>
    <row r="925" spans="1:4" x14ac:dyDescent="0.3">
      <c r="A925" s="157">
        <v>43977</v>
      </c>
      <c r="B925" s="158">
        <v>12715.39</v>
      </c>
      <c r="C925"/>
      <c r="D925" s="160"/>
    </row>
    <row r="926" spans="1:4" x14ac:dyDescent="0.3">
      <c r="A926" s="157">
        <v>43973</v>
      </c>
      <c r="B926" s="158">
        <v>12729.74</v>
      </c>
      <c r="C926"/>
      <c r="D926" s="160"/>
    </row>
    <row r="927" spans="1:4" x14ac:dyDescent="0.3">
      <c r="A927" s="157">
        <v>43972</v>
      </c>
      <c r="B927" s="158">
        <v>12824.12</v>
      </c>
      <c r="C927"/>
      <c r="D927" s="160"/>
    </row>
    <row r="928" spans="1:4" x14ac:dyDescent="0.3">
      <c r="A928" s="157">
        <v>43971</v>
      </c>
      <c r="B928" s="158">
        <v>12768.2</v>
      </c>
      <c r="C928"/>
      <c r="D928" s="160"/>
    </row>
    <row r="929" spans="1:4" x14ac:dyDescent="0.3">
      <c r="A929" s="157">
        <v>43970</v>
      </c>
      <c r="B929" s="158">
        <v>12504.22</v>
      </c>
      <c r="C929"/>
      <c r="D929" s="160"/>
    </row>
    <row r="930" spans="1:4" x14ac:dyDescent="0.3">
      <c r="A930" s="157">
        <v>43969</v>
      </c>
      <c r="B930" s="158">
        <v>12425.57</v>
      </c>
      <c r="C930"/>
      <c r="D930" s="160"/>
    </row>
    <row r="931" spans="1:4" x14ac:dyDescent="0.3">
      <c r="A931" s="157">
        <v>43966</v>
      </c>
      <c r="B931" s="158">
        <v>12867.16</v>
      </c>
      <c r="C931"/>
      <c r="D931" s="160"/>
    </row>
    <row r="932" spans="1:4" x14ac:dyDescent="0.3">
      <c r="A932" s="157">
        <v>43965</v>
      </c>
      <c r="B932" s="158">
        <v>12875.51</v>
      </c>
      <c r="C932"/>
      <c r="D932" s="160"/>
    </row>
    <row r="933" spans="1:4" x14ac:dyDescent="0.3">
      <c r="A933" s="157">
        <v>43964</v>
      </c>
      <c r="B933" s="158">
        <v>13214.58</v>
      </c>
      <c r="C933"/>
      <c r="D933" s="160"/>
    </row>
    <row r="934" spans="1:4" x14ac:dyDescent="0.3">
      <c r="A934" s="157">
        <v>43963</v>
      </c>
      <c r="B934" s="158">
        <v>12951.29</v>
      </c>
      <c r="C934"/>
      <c r="D934" s="160"/>
    </row>
    <row r="935" spans="1:4" x14ac:dyDescent="0.3">
      <c r="A935" s="157">
        <v>43962</v>
      </c>
      <c r="B935" s="158">
        <v>13011.35</v>
      </c>
      <c r="C935"/>
      <c r="D935" s="160"/>
    </row>
    <row r="936" spans="1:4" x14ac:dyDescent="0.3">
      <c r="A936" s="157">
        <v>43959</v>
      </c>
      <c r="B936" s="158">
        <v>13028.62</v>
      </c>
      <c r="C936"/>
      <c r="D936" s="160"/>
    </row>
    <row r="937" spans="1:4" x14ac:dyDescent="0.3">
      <c r="A937" s="157">
        <v>43958</v>
      </c>
      <c r="B937" s="158">
        <v>12954.81</v>
      </c>
      <c r="C937"/>
      <c r="D937" s="160"/>
    </row>
    <row r="938" spans="1:4" x14ac:dyDescent="0.3">
      <c r="A938" s="157">
        <v>43957</v>
      </c>
      <c r="B938" s="158">
        <v>13055.99</v>
      </c>
      <c r="C938"/>
      <c r="D938" s="160"/>
    </row>
    <row r="939" spans="1:4" x14ac:dyDescent="0.3">
      <c r="A939" s="157">
        <v>43956</v>
      </c>
      <c r="B939" s="158">
        <v>12963.99</v>
      </c>
      <c r="C939"/>
      <c r="D939" s="160"/>
    </row>
    <row r="940" spans="1:4" x14ac:dyDescent="0.3">
      <c r="A940" s="157">
        <v>43955</v>
      </c>
      <c r="B940" s="158">
        <v>13086.63</v>
      </c>
      <c r="C940"/>
      <c r="D940" s="160"/>
    </row>
    <row r="941" spans="1:4" x14ac:dyDescent="0.3">
      <c r="A941" s="157">
        <v>43951</v>
      </c>
      <c r="B941" s="158">
        <v>13884.18</v>
      </c>
      <c r="C941"/>
      <c r="D941" s="160"/>
    </row>
    <row r="942" spans="1:4" x14ac:dyDescent="0.3">
      <c r="A942" s="157">
        <v>43950</v>
      </c>
      <c r="B942" s="158">
        <v>13452.51</v>
      </c>
      <c r="C942"/>
      <c r="D942" s="160"/>
    </row>
    <row r="943" spans="1:4" x14ac:dyDescent="0.3">
      <c r="A943" s="157">
        <v>43949</v>
      </c>
      <c r="B943" s="158">
        <v>13208.29</v>
      </c>
      <c r="C943"/>
      <c r="D943" s="160"/>
    </row>
    <row r="944" spans="1:4" x14ac:dyDescent="0.3">
      <c r="A944" s="157">
        <v>43948</v>
      </c>
      <c r="B944" s="158">
        <v>13069.49</v>
      </c>
      <c r="C944"/>
      <c r="D944" s="160"/>
    </row>
    <row r="945" spans="1:4" x14ac:dyDescent="0.3">
      <c r="A945" s="157">
        <v>43945</v>
      </c>
      <c r="B945" s="158">
        <v>12889.39</v>
      </c>
      <c r="C945"/>
      <c r="D945" s="160"/>
    </row>
    <row r="946" spans="1:4" x14ac:dyDescent="0.3">
      <c r="A946" s="157">
        <v>43944</v>
      </c>
      <c r="B946" s="158">
        <v>13113.97</v>
      </c>
      <c r="C946"/>
      <c r="D946" s="160"/>
    </row>
    <row r="947" spans="1:4" x14ac:dyDescent="0.3">
      <c r="A947" s="157">
        <v>43943</v>
      </c>
      <c r="B947" s="158">
        <v>12935.73</v>
      </c>
      <c r="C947"/>
      <c r="D947" s="160"/>
    </row>
    <row r="948" spans="1:4" x14ac:dyDescent="0.3">
      <c r="A948" s="157">
        <v>43942</v>
      </c>
      <c r="B948" s="158">
        <v>12645.91</v>
      </c>
      <c r="C948"/>
      <c r="D948" s="160"/>
    </row>
    <row r="949" spans="1:4" x14ac:dyDescent="0.3">
      <c r="A949" s="157">
        <v>43941</v>
      </c>
      <c r="B949" s="158">
        <v>13040.65</v>
      </c>
      <c r="C949"/>
      <c r="D949" s="160"/>
    </row>
    <row r="950" spans="1:4" x14ac:dyDescent="0.3">
      <c r="A950" s="157">
        <v>43938</v>
      </c>
      <c r="B950" s="158">
        <v>13047.57</v>
      </c>
      <c r="C950"/>
      <c r="D950" s="160"/>
    </row>
    <row r="951" spans="1:4" x14ac:dyDescent="0.3">
      <c r="A951" s="157">
        <v>43937</v>
      </c>
      <c r="B951" s="158">
        <v>12661.83</v>
      </c>
      <c r="C951"/>
      <c r="D951" s="160"/>
    </row>
    <row r="952" spans="1:4" x14ac:dyDescent="0.3">
      <c r="A952" s="157">
        <v>43936</v>
      </c>
      <c r="B952" s="158">
        <v>12566.85</v>
      </c>
      <c r="C952"/>
      <c r="D952" s="160"/>
    </row>
    <row r="953" spans="1:4" x14ac:dyDescent="0.3">
      <c r="A953" s="157">
        <v>43934</v>
      </c>
      <c r="B953" s="158">
        <v>12663.31</v>
      </c>
      <c r="C953"/>
      <c r="D953" s="160"/>
    </row>
    <row r="954" spans="1:4" x14ac:dyDescent="0.3">
      <c r="A954" s="157">
        <v>43930</v>
      </c>
      <c r="B954" s="158">
        <v>12829.57</v>
      </c>
      <c r="C954"/>
      <c r="D954" s="160"/>
    </row>
    <row r="955" spans="1:4" x14ac:dyDescent="0.3">
      <c r="A955" s="157">
        <v>43929</v>
      </c>
      <c r="B955" s="158">
        <v>12318.25</v>
      </c>
      <c r="C955"/>
      <c r="D955" s="160"/>
    </row>
    <row r="956" spans="1:4" x14ac:dyDescent="0.3">
      <c r="A956" s="157">
        <v>43928</v>
      </c>
      <c r="B956" s="158">
        <v>12379.42</v>
      </c>
      <c r="C956"/>
      <c r="D956" s="160"/>
    </row>
    <row r="957" spans="1:4" x14ac:dyDescent="0.3">
      <c r="A957" s="157">
        <v>43924</v>
      </c>
      <c r="B957" s="158">
        <v>11382.02</v>
      </c>
      <c r="C957"/>
      <c r="D957" s="160"/>
    </row>
    <row r="958" spans="1:4" x14ac:dyDescent="0.3">
      <c r="A958" s="157">
        <v>43922</v>
      </c>
      <c r="B958" s="158">
        <v>11621.35</v>
      </c>
      <c r="C958"/>
      <c r="D958" s="160"/>
    </row>
    <row r="959" spans="1:4" x14ac:dyDescent="0.3">
      <c r="A959" s="157">
        <v>43921</v>
      </c>
      <c r="B959" s="158">
        <v>12105.66</v>
      </c>
      <c r="C959"/>
      <c r="D959" s="160"/>
    </row>
    <row r="960" spans="1:4" x14ac:dyDescent="0.3">
      <c r="A960" s="157">
        <v>43920</v>
      </c>
      <c r="B960" s="158">
        <v>11659.76</v>
      </c>
      <c r="C960"/>
      <c r="D960" s="160"/>
    </row>
    <row r="961" spans="1:4" x14ac:dyDescent="0.3">
      <c r="A961" s="157">
        <v>43917</v>
      </c>
      <c r="B961" s="158">
        <v>12193.62</v>
      </c>
      <c r="C961"/>
      <c r="D961" s="160"/>
    </row>
    <row r="962" spans="1:4" x14ac:dyDescent="0.3">
      <c r="A962" s="157">
        <v>43916</v>
      </c>
      <c r="B962" s="158">
        <v>12167.15</v>
      </c>
      <c r="C962"/>
      <c r="D962" s="160"/>
    </row>
    <row r="963" spans="1:4" x14ac:dyDescent="0.3">
      <c r="A963" s="157">
        <v>43915</v>
      </c>
      <c r="B963" s="158">
        <v>11710.71</v>
      </c>
      <c r="C963"/>
      <c r="D963" s="160"/>
    </row>
    <row r="964" spans="1:4" x14ac:dyDescent="0.3">
      <c r="A964" s="157">
        <v>43914</v>
      </c>
      <c r="B964" s="158">
        <v>10983.15</v>
      </c>
      <c r="C964"/>
      <c r="D964" s="160"/>
    </row>
    <row r="965" spans="1:4" x14ac:dyDescent="0.3">
      <c r="A965" s="157">
        <v>43913</v>
      </c>
      <c r="B965" s="158">
        <v>10710.41</v>
      </c>
      <c r="C965"/>
      <c r="D965" s="160"/>
    </row>
    <row r="966" spans="1:4" x14ac:dyDescent="0.3">
      <c r="A966" s="157">
        <v>43910</v>
      </c>
      <c r="B966" s="158">
        <v>12298.74</v>
      </c>
      <c r="C966"/>
      <c r="D966" s="160"/>
    </row>
    <row r="967" spans="1:4" x14ac:dyDescent="0.3">
      <c r="A967" s="157">
        <v>43909</v>
      </c>
      <c r="B967" s="158">
        <v>11620.92</v>
      </c>
      <c r="C967"/>
      <c r="D967" s="160"/>
    </row>
    <row r="968" spans="1:4" x14ac:dyDescent="0.3">
      <c r="A968" s="157">
        <v>43908</v>
      </c>
      <c r="B968" s="158">
        <v>11904.02</v>
      </c>
      <c r="C968"/>
      <c r="D968" s="160"/>
    </row>
    <row r="969" spans="1:4" x14ac:dyDescent="0.3">
      <c r="A969" s="157">
        <v>43907</v>
      </c>
      <c r="B969" s="158">
        <v>12604.41</v>
      </c>
      <c r="C969"/>
      <c r="D969" s="160"/>
    </row>
    <row r="970" spans="1:4" x14ac:dyDescent="0.3">
      <c r="A970" s="157">
        <v>43906</v>
      </c>
      <c r="B970" s="158">
        <v>12928.18</v>
      </c>
      <c r="C970"/>
      <c r="D970" s="160"/>
    </row>
    <row r="971" spans="1:4" x14ac:dyDescent="0.3">
      <c r="A971" s="157">
        <v>43903</v>
      </c>
      <c r="B971" s="158">
        <v>13987.31</v>
      </c>
      <c r="C971"/>
      <c r="D971" s="160"/>
    </row>
    <row r="972" spans="1:4" x14ac:dyDescent="0.3">
      <c r="A972" s="157">
        <v>43902</v>
      </c>
      <c r="B972" s="158">
        <v>13474.38</v>
      </c>
      <c r="C972"/>
      <c r="D972" s="160"/>
    </row>
    <row r="973" spans="1:4" x14ac:dyDescent="0.3">
      <c r="A973" s="157">
        <v>43901</v>
      </c>
      <c r="B973" s="158">
        <v>14694.31</v>
      </c>
      <c r="C973"/>
      <c r="D973" s="160"/>
    </row>
    <row r="974" spans="1:4" x14ac:dyDescent="0.3">
      <c r="A974" s="157">
        <v>43899</v>
      </c>
      <c r="B974" s="158">
        <v>14684.56</v>
      </c>
      <c r="C974"/>
      <c r="D974" s="160"/>
    </row>
    <row r="975" spans="1:4" x14ac:dyDescent="0.3">
      <c r="A975" s="157">
        <v>43896</v>
      </c>
      <c r="B975" s="158">
        <v>15440.48</v>
      </c>
      <c r="C975"/>
      <c r="D975" s="160"/>
    </row>
    <row r="976" spans="1:4" x14ac:dyDescent="0.3">
      <c r="A976" s="157">
        <v>43895</v>
      </c>
      <c r="B976" s="158">
        <v>15833.21</v>
      </c>
      <c r="C976"/>
      <c r="D976" s="160"/>
    </row>
    <row r="977" spans="1:4" x14ac:dyDescent="0.3">
      <c r="A977" s="157">
        <v>43894</v>
      </c>
      <c r="B977" s="158">
        <v>15805.53</v>
      </c>
      <c r="C977"/>
      <c r="D977" s="160"/>
    </row>
    <row r="978" spans="1:4" x14ac:dyDescent="0.3">
      <c r="A978" s="157">
        <v>43893</v>
      </c>
      <c r="B978" s="158">
        <v>15878.98</v>
      </c>
      <c r="C978"/>
      <c r="D978" s="160"/>
    </row>
    <row r="979" spans="1:4" x14ac:dyDescent="0.3">
      <c r="A979" s="157">
        <v>43892</v>
      </c>
      <c r="B979" s="158">
        <v>15632.14</v>
      </c>
      <c r="C979"/>
      <c r="D979" s="160"/>
    </row>
    <row r="980" spans="1:4" x14ac:dyDescent="0.3">
      <c r="A980" s="157">
        <v>43889</v>
      </c>
      <c r="B980" s="158">
        <v>15726.92</v>
      </c>
      <c r="C980"/>
      <c r="D980" s="160"/>
    </row>
    <row r="981" spans="1:4" x14ac:dyDescent="0.3">
      <c r="A981" s="157">
        <v>43888</v>
      </c>
      <c r="B981" s="158">
        <v>16332.81</v>
      </c>
      <c r="C981"/>
      <c r="D981" s="160"/>
    </row>
    <row r="982" spans="1:4" x14ac:dyDescent="0.3">
      <c r="A982" s="157">
        <v>43887</v>
      </c>
      <c r="B982" s="158">
        <v>16396.23</v>
      </c>
      <c r="C982"/>
      <c r="D982" s="160"/>
    </row>
    <row r="983" spans="1:4" x14ac:dyDescent="0.3">
      <c r="A983" s="157">
        <v>43886</v>
      </c>
      <c r="B983" s="158">
        <v>16563.91</v>
      </c>
      <c r="C983"/>
      <c r="D983" s="160"/>
    </row>
    <row r="984" spans="1:4" x14ac:dyDescent="0.3">
      <c r="A984" s="157">
        <v>43885</v>
      </c>
      <c r="B984" s="158">
        <v>16608.12</v>
      </c>
      <c r="C984"/>
      <c r="D984" s="160"/>
    </row>
    <row r="985" spans="1:4" x14ac:dyDescent="0.3">
      <c r="A985" s="157">
        <v>43881</v>
      </c>
      <c r="B985" s="158">
        <v>16961.16</v>
      </c>
      <c r="C985"/>
      <c r="D985" s="160"/>
    </row>
    <row r="986" spans="1:4" x14ac:dyDescent="0.3">
      <c r="A986" s="157">
        <v>43880</v>
      </c>
      <c r="B986" s="158">
        <v>17024.41</v>
      </c>
      <c r="C986"/>
      <c r="D986" s="160"/>
    </row>
    <row r="987" spans="1:4" x14ac:dyDescent="0.3">
      <c r="A987" s="157">
        <v>43879</v>
      </c>
      <c r="B987" s="158">
        <v>16837.080000000002</v>
      </c>
      <c r="C987"/>
      <c r="D987" s="160"/>
    </row>
    <row r="988" spans="1:4" x14ac:dyDescent="0.3">
      <c r="A988" s="157">
        <v>43878</v>
      </c>
      <c r="B988" s="158">
        <v>16911.919999999998</v>
      </c>
      <c r="C988"/>
      <c r="D988" s="160"/>
    </row>
    <row r="989" spans="1:4" x14ac:dyDescent="0.3">
      <c r="A989" s="157">
        <v>43875</v>
      </c>
      <c r="B989" s="158">
        <v>17002.89</v>
      </c>
      <c r="C989"/>
      <c r="D989" s="160"/>
    </row>
    <row r="990" spans="1:4" x14ac:dyDescent="0.3">
      <c r="A990" s="157">
        <v>43874</v>
      </c>
      <c r="B990" s="158">
        <v>17088.84</v>
      </c>
      <c r="C990"/>
      <c r="D990" s="160"/>
    </row>
    <row r="991" spans="1:4" x14ac:dyDescent="0.3">
      <c r="A991" s="157">
        <v>43873</v>
      </c>
      <c r="B991" s="158">
        <v>17126.07</v>
      </c>
      <c r="C991"/>
      <c r="D991" s="160"/>
    </row>
    <row r="992" spans="1:4" x14ac:dyDescent="0.3">
      <c r="A992" s="157">
        <v>43872</v>
      </c>
      <c r="B992" s="158">
        <v>16995.099999999999</v>
      </c>
      <c r="C992"/>
      <c r="D992" s="160"/>
    </row>
    <row r="993" spans="1:4" x14ac:dyDescent="0.3">
      <c r="A993" s="157">
        <v>43871</v>
      </c>
      <c r="B993" s="158">
        <v>16887.86</v>
      </c>
      <c r="C993"/>
      <c r="D993" s="160"/>
    </row>
    <row r="994" spans="1:4" x14ac:dyDescent="0.3">
      <c r="A994" s="157">
        <v>43868</v>
      </c>
      <c r="B994" s="158">
        <v>16981.75</v>
      </c>
      <c r="C994"/>
      <c r="D994" s="160"/>
    </row>
    <row r="995" spans="1:4" x14ac:dyDescent="0.3">
      <c r="A995" s="157">
        <v>43867</v>
      </c>
      <c r="B995" s="158">
        <v>17037.28</v>
      </c>
      <c r="C995"/>
      <c r="D995" s="160"/>
    </row>
    <row r="996" spans="1:4" x14ac:dyDescent="0.3">
      <c r="A996" s="157">
        <v>43866</v>
      </c>
      <c r="B996" s="158">
        <v>16968.830000000002</v>
      </c>
      <c r="C996"/>
      <c r="D996" s="160"/>
    </row>
    <row r="997" spans="1:4" x14ac:dyDescent="0.3">
      <c r="A997" s="157">
        <v>43865</v>
      </c>
      <c r="B997" s="158">
        <v>16815.12</v>
      </c>
      <c r="C997"/>
      <c r="D997" s="160"/>
    </row>
    <row r="998" spans="1:4" x14ac:dyDescent="0.3">
      <c r="A998" s="157">
        <v>43864</v>
      </c>
      <c r="B998" s="158">
        <v>16433.650000000001</v>
      </c>
      <c r="C998"/>
      <c r="D998" s="160"/>
    </row>
    <row r="999" spans="1:4" x14ac:dyDescent="0.3">
      <c r="A999" s="157">
        <v>43862</v>
      </c>
      <c r="B999" s="158">
        <v>16369</v>
      </c>
      <c r="C999"/>
      <c r="D999" s="160"/>
    </row>
    <row r="1000" spans="1:4" x14ac:dyDescent="0.3">
      <c r="A1000" s="157">
        <v>43861</v>
      </c>
      <c r="B1000" s="158">
        <v>16790.45</v>
      </c>
      <c r="C1000"/>
      <c r="D1000" s="160"/>
    </row>
    <row r="1001" spans="1:4" x14ac:dyDescent="0.3">
      <c r="A1001" s="157">
        <v>43860</v>
      </c>
      <c r="B1001" s="158">
        <v>16893.91</v>
      </c>
      <c r="C1001"/>
      <c r="D1001" s="160"/>
    </row>
    <row r="1002" spans="1:4" x14ac:dyDescent="0.3">
      <c r="A1002" s="157">
        <v>43859</v>
      </c>
      <c r="B1002" s="158">
        <v>17025.46</v>
      </c>
      <c r="C1002"/>
      <c r="D1002" s="160"/>
    </row>
    <row r="1003" spans="1:4" x14ac:dyDescent="0.3">
      <c r="A1003" s="157">
        <v>43858</v>
      </c>
      <c r="B1003" s="158">
        <v>16922.009999999998</v>
      </c>
      <c r="C1003"/>
      <c r="D1003" s="160"/>
    </row>
    <row r="1004" spans="1:4" x14ac:dyDescent="0.3">
      <c r="A1004" s="157">
        <v>43857</v>
      </c>
      <c r="B1004" s="158">
        <v>17010.7</v>
      </c>
      <c r="C1004"/>
      <c r="D1004" s="160"/>
    </row>
    <row r="1005" spans="1:4" x14ac:dyDescent="0.3">
      <c r="A1005" s="157">
        <v>43854</v>
      </c>
      <c r="B1005" s="158">
        <v>17192.150000000001</v>
      </c>
      <c r="C1005"/>
      <c r="D1005" s="160"/>
    </row>
    <row r="1006" spans="1:4" x14ac:dyDescent="0.3">
      <c r="A1006" s="157">
        <v>43853</v>
      </c>
      <c r="B1006" s="158">
        <v>17095.61</v>
      </c>
      <c r="C1006"/>
      <c r="D1006" s="160"/>
    </row>
    <row r="1007" spans="1:4" x14ac:dyDescent="0.3">
      <c r="A1007" s="157">
        <v>43852</v>
      </c>
      <c r="B1007" s="158">
        <v>16990.68</v>
      </c>
      <c r="C1007"/>
      <c r="D1007" s="160"/>
    </row>
    <row r="1008" spans="1:4" x14ac:dyDescent="0.3">
      <c r="A1008" s="157">
        <v>43851</v>
      </c>
      <c r="B1008" s="158">
        <v>17079.07</v>
      </c>
      <c r="C1008"/>
      <c r="D1008" s="160"/>
    </row>
    <row r="1009" spans="1:4" x14ac:dyDescent="0.3">
      <c r="A1009" s="157">
        <v>43850</v>
      </c>
      <c r="B1009" s="158">
        <v>17155.830000000002</v>
      </c>
      <c r="C1009"/>
      <c r="D1009" s="160"/>
    </row>
    <row r="1010" spans="1:4" x14ac:dyDescent="0.3">
      <c r="A1010" s="157">
        <v>43847</v>
      </c>
      <c r="B1010" s="158">
        <v>17335.2</v>
      </c>
      <c r="C1010"/>
      <c r="D1010" s="160"/>
    </row>
    <row r="1011" spans="1:4" x14ac:dyDescent="0.3">
      <c r="A1011" s="157">
        <v>43846</v>
      </c>
      <c r="B1011" s="158">
        <v>17339.57</v>
      </c>
      <c r="C1011"/>
      <c r="D1011" s="160"/>
    </row>
    <row r="1012" spans="1:4" x14ac:dyDescent="0.3">
      <c r="A1012" s="157">
        <v>43845</v>
      </c>
      <c r="B1012" s="158">
        <v>17322.5</v>
      </c>
      <c r="C1012"/>
      <c r="D1012" s="160"/>
    </row>
    <row r="1013" spans="1:4" x14ac:dyDescent="0.3">
      <c r="A1013" s="157">
        <v>43844</v>
      </c>
      <c r="B1013" s="158">
        <v>17349.12</v>
      </c>
      <c r="C1013"/>
      <c r="D1013" s="160"/>
    </row>
    <row r="1014" spans="1:4" x14ac:dyDescent="0.3">
      <c r="A1014" s="157">
        <v>43843</v>
      </c>
      <c r="B1014" s="158">
        <v>17303.2</v>
      </c>
      <c r="C1014"/>
      <c r="D1014" s="160"/>
    </row>
    <row r="1015" spans="1:4" x14ac:dyDescent="0.3">
      <c r="A1015" s="157">
        <v>43840</v>
      </c>
      <c r="B1015" s="158">
        <v>17201.080000000002</v>
      </c>
      <c r="C1015"/>
      <c r="D1015" s="160"/>
    </row>
    <row r="1016" spans="1:4" x14ac:dyDescent="0.3">
      <c r="A1016" s="157">
        <v>43839</v>
      </c>
      <c r="B1016" s="158">
        <v>17143.650000000001</v>
      </c>
      <c r="C1016"/>
      <c r="D1016" s="160"/>
    </row>
    <row r="1017" spans="1:4" x14ac:dyDescent="0.3">
      <c r="A1017" s="157">
        <v>43838</v>
      </c>
      <c r="B1017" s="158">
        <v>16876.240000000002</v>
      </c>
      <c r="C1017"/>
      <c r="D1017" s="160"/>
    </row>
    <row r="1018" spans="1:4" x14ac:dyDescent="0.3">
      <c r="A1018" s="157">
        <v>43837</v>
      </c>
      <c r="B1018" s="158">
        <v>16915.03</v>
      </c>
      <c r="C1018"/>
      <c r="D1018" s="160"/>
    </row>
    <row r="1019" spans="1:4" x14ac:dyDescent="0.3">
      <c r="A1019" s="157">
        <v>43836</v>
      </c>
      <c r="B1019" s="158">
        <v>16830.93</v>
      </c>
      <c r="C1019"/>
      <c r="D1019" s="160"/>
    </row>
    <row r="1020" spans="1:4" x14ac:dyDescent="0.3">
      <c r="A1020" s="157">
        <v>43833</v>
      </c>
      <c r="B1020" s="158">
        <v>17158.75</v>
      </c>
      <c r="C1020"/>
      <c r="D1020" s="160"/>
    </row>
    <row r="1021" spans="1:4" x14ac:dyDescent="0.3">
      <c r="A1021" s="157">
        <v>43832</v>
      </c>
      <c r="B1021" s="158">
        <v>17236.7</v>
      </c>
      <c r="C1021"/>
      <c r="D1021" s="160"/>
    </row>
    <row r="1022" spans="1:4" x14ac:dyDescent="0.3">
      <c r="A1022" s="157">
        <v>43831</v>
      </c>
      <c r="B1022" s="158">
        <v>17096.830000000002</v>
      </c>
      <c r="C1022"/>
      <c r="D1022" s="160"/>
    </row>
    <row r="1023" spans="1:4" x14ac:dyDescent="0.3">
      <c r="A1023" s="157">
        <v>43830</v>
      </c>
      <c r="B1023" s="158">
        <v>17077.060000000001</v>
      </c>
      <c r="C1023"/>
      <c r="D1023" s="160"/>
    </row>
    <row r="1024" spans="1:4" x14ac:dyDescent="0.3">
      <c r="A1024" s="157">
        <v>43829</v>
      </c>
      <c r="B1024" s="158">
        <v>17199.73</v>
      </c>
      <c r="C1024"/>
      <c r="D1024" s="160"/>
    </row>
    <row r="1025" spans="1:4" x14ac:dyDescent="0.3">
      <c r="A1025" s="157">
        <v>43826</v>
      </c>
      <c r="B1025" s="158">
        <v>17185.66</v>
      </c>
      <c r="C1025"/>
      <c r="D1025" s="160"/>
    </row>
    <row r="1026" spans="1:4" x14ac:dyDescent="0.3">
      <c r="A1026" s="157">
        <v>43825</v>
      </c>
      <c r="B1026" s="158">
        <v>17018.259999999998</v>
      </c>
      <c r="C1026"/>
      <c r="D1026" s="160"/>
    </row>
    <row r="1027" spans="1:4" x14ac:dyDescent="0.3">
      <c r="A1027" s="157">
        <v>43823</v>
      </c>
      <c r="B1027" s="158">
        <v>17141.8</v>
      </c>
      <c r="C1027"/>
      <c r="D1027" s="160"/>
    </row>
    <row r="1028" spans="1:4" x14ac:dyDescent="0.3">
      <c r="A1028" s="157">
        <v>43822</v>
      </c>
      <c r="B1028" s="158">
        <v>17209.400000000001</v>
      </c>
      <c r="C1028"/>
      <c r="D1028" s="160"/>
    </row>
    <row r="1029" spans="1:4" x14ac:dyDescent="0.3">
      <c r="A1029" s="157">
        <v>43819</v>
      </c>
      <c r="B1029" s="158">
        <v>17222.14</v>
      </c>
      <c r="C1029"/>
      <c r="D1029" s="160"/>
    </row>
    <row r="1030" spans="1:4" x14ac:dyDescent="0.3">
      <c r="A1030" s="157">
        <v>43818</v>
      </c>
      <c r="B1030" s="158">
        <v>17205.12</v>
      </c>
      <c r="C1030"/>
      <c r="D1030" s="160"/>
    </row>
    <row r="1031" spans="1:4" x14ac:dyDescent="0.3">
      <c r="A1031" s="157">
        <v>43817</v>
      </c>
      <c r="B1031" s="158">
        <v>17150.93</v>
      </c>
      <c r="C1031"/>
      <c r="D1031" s="160"/>
    </row>
    <row r="1032" spans="1:4" x14ac:dyDescent="0.3">
      <c r="A1032" s="157">
        <v>43816</v>
      </c>
      <c r="B1032" s="158">
        <v>17071.490000000002</v>
      </c>
      <c r="C1032"/>
      <c r="D1032" s="160"/>
    </row>
    <row r="1033" spans="1:4" x14ac:dyDescent="0.3">
      <c r="A1033" s="157">
        <v>43815</v>
      </c>
      <c r="B1033" s="158">
        <v>16915.650000000001</v>
      </c>
      <c r="C1033"/>
      <c r="D1033" s="160"/>
    </row>
    <row r="1034" spans="1:4" x14ac:dyDescent="0.3">
      <c r="A1034" s="157">
        <v>43812</v>
      </c>
      <c r="B1034" s="158">
        <v>16961.560000000001</v>
      </c>
      <c r="C1034"/>
      <c r="D1034" s="160"/>
    </row>
    <row r="1035" spans="1:4" x14ac:dyDescent="0.3">
      <c r="A1035" s="157">
        <v>43811</v>
      </c>
      <c r="B1035" s="158">
        <v>16800.36</v>
      </c>
      <c r="C1035"/>
      <c r="D1035" s="160"/>
    </row>
    <row r="1036" spans="1:4" x14ac:dyDescent="0.3">
      <c r="A1036" s="157">
        <v>43810</v>
      </c>
      <c r="B1036" s="158">
        <v>16713.79</v>
      </c>
      <c r="C1036"/>
      <c r="D1036" s="160"/>
    </row>
    <row r="1037" spans="1:4" x14ac:dyDescent="0.3">
      <c r="A1037" s="157">
        <v>43809</v>
      </c>
      <c r="B1037" s="158">
        <v>16638.939999999999</v>
      </c>
      <c r="C1037"/>
      <c r="D1037" s="160"/>
    </row>
    <row r="1038" spans="1:4" x14ac:dyDescent="0.3">
      <c r="A1038" s="157">
        <v>43808</v>
      </c>
      <c r="B1038" s="158">
        <v>16751.53</v>
      </c>
      <c r="C1038"/>
      <c r="D1038" s="160"/>
    </row>
    <row r="1039" spans="1:4" x14ac:dyDescent="0.3">
      <c r="A1039" s="157">
        <v>43805</v>
      </c>
      <c r="B1039" s="158">
        <v>16729.080000000002</v>
      </c>
      <c r="C1039"/>
      <c r="D1039" s="160"/>
    </row>
    <row r="1040" spans="1:4" x14ac:dyDescent="0.3">
      <c r="A1040" s="157">
        <v>43804</v>
      </c>
      <c r="B1040" s="158">
        <v>16865.04</v>
      </c>
      <c r="C1040"/>
      <c r="D1040" s="160"/>
    </row>
    <row r="1041" spans="1:4" x14ac:dyDescent="0.3">
      <c r="A1041" s="157">
        <v>43803</v>
      </c>
      <c r="B1041" s="158">
        <v>16899.88</v>
      </c>
      <c r="C1041"/>
      <c r="D1041" s="160"/>
    </row>
    <row r="1042" spans="1:4" x14ac:dyDescent="0.3">
      <c r="A1042" s="157">
        <v>43802</v>
      </c>
      <c r="B1042" s="158">
        <v>16831.11</v>
      </c>
      <c r="C1042"/>
      <c r="D1042" s="160"/>
    </row>
    <row r="1043" spans="1:4" x14ac:dyDescent="0.3">
      <c r="A1043" s="157">
        <v>43801</v>
      </c>
      <c r="B1043" s="158">
        <v>16906.88</v>
      </c>
      <c r="C1043"/>
      <c r="D1043" s="160"/>
    </row>
    <row r="1044" spans="1:4" x14ac:dyDescent="0.3">
      <c r="A1044" s="157">
        <v>43798</v>
      </c>
      <c r="B1044" s="158">
        <v>16917.89</v>
      </c>
      <c r="C1044"/>
      <c r="D1044" s="160"/>
    </row>
    <row r="1045" spans="1:4" x14ac:dyDescent="0.3">
      <c r="A1045" s="157">
        <v>43797</v>
      </c>
      <c r="B1045" s="158">
        <v>17051.310000000001</v>
      </c>
      <c r="C1045"/>
      <c r="D1045" s="160"/>
    </row>
    <row r="1046" spans="1:4" x14ac:dyDescent="0.3">
      <c r="A1046" s="157">
        <v>43796</v>
      </c>
      <c r="B1046" s="158">
        <v>16980.54</v>
      </c>
      <c r="C1046"/>
      <c r="D1046" s="160"/>
    </row>
    <row r="1047" spans="1:4" x14ac:dyDescent="0.3">
      <c r="A1047" s="157">
        <v>43795</v>
      </c>
      <c r="B1047" s="158">
        <v>16892.150000000001</v>
      </c>
      <c r="C1047"/>
      <c r="D1047" s="160"/>
    </row>
    <row r="1048" spans="1:4" x14ac:dyDescent="0.3">
      <c r="A1048" s="157">
        <v>43794</v>
      </c>
      <c r="B1048" s="158">
        <v>16942.7</v>
      </c>
      <c r="C1048"/>
      <c r="D1048" s="160"/>
    </row>
    <row r="1049" spans="1:4" x14ac:dyDescent="0.3">
      <c r="A1049" s="157">
        <v>43791</v>
      </c>
      <c r="B1049" s="158">
        <v>16719.11</v>
      </c>
      <c r="C1049"/>
      <c r="D1049" s="160"/>
    </row>
    <row r="1050" spans="1:4" x14ac:dyDescent="0.3">
      <c r="A1050" s="157">
        <v>43790</v>
      </c>
      <c r="B1050" s="158">
        <v>16794.86</v>
      </c>
      <c r="C1050"/>
      <c r="D1050" s="160"/>
    </row>
    <row r="1051" spans="1:4" x14ac:dyDescent="0.3">
      <c r="A1051" s="157">
        <v>43789</v>
      </c>
      <c r="B1051" s="158">
        <v>16837.96</v>
      </c>
      <c r="C1051"/>
      <c r="D1051" s="160"/>
    </row>
    <row r="1052" spans="1:4" x14ac:dyDescent="0.3">
      <c r="A1052" s="157">
        <v>43788</v>
      </c>
      <c r="B1052" s="158">
        <v>16755.150000000001</v>
      </c>
      <c r="C1052"/>
      <c r="D1052" s="160"/>
    </row>
    <row r="1053" spans="1:4" x14ac:dyDescent="0.3">
      <c r="A1053" s="157">
        <v>43787</v>
      </c>
      <c r="B1053" s="158">
        <v>16677.14</v>
      </c>
      <c r="C1053"/>
      <c r="D1053" s="160"/>
    </row>
    <row r="1054" spans="1:4" x14ac:dyDescent="0.3">
      <c r="A1054" s="157">
        <v>43784</v>
      </c>
      <c r="B1054" s="158">
        <v>16692.52</v>
      </c>
      <c r="C1054"/>
      <c r="D1054" s="160"/>
    </row>
    <row r="1055" spans="1:4" x14ac:dyDescent="0.3">
      <c r="A1055" s="157">
        <v>43783</v>
      </c>
      <c r="B1055" s="158">
        <v>16659.78</v>
      </c>
      <c r="C1055"/>
      <c r="D1055" s="160"/>
    </row>
    <row r="1056" spans="1:4" x14ac:dyDescent="0.3">
      <c r="A1056" s="157">
        <v>43782</v>
      </c>
      <c r="B1056" s="158">
        <v>16615.37</v>
      </c>
      <c r="C1056"/>
      <c r="D1056" s="160"/>
    </row>
    <row r="1057" spans="1:4" x14ac:dyDescent="0.3">
      <c r="A1057" s="157">
        <v>43780</v>
      </c>
      <c r="B1057" s="158">
        <v>16717.75</v>
      </c>
      <c r="C1057"/>
      <c r="D1057" s="160"/>
    </row>
    <row r="1058" spans="1:4" x14ac:dyDescent="0.3">
      <c r="A1058" s="157">
        <v>43777</v>
      </c>
      <c r="B1058" s="158">
        <v>16710.37</v>
      </c>
      <c r="C1058"/>
      <c r="D1058" s="160"/>
    </row>
    <row r="1059" spans="1:4" x14ac:dyDescent="0.3">
      <c r="A1059" s="157">
        <v>43776</v>
      </c>
      <c r="B1059" s="158">
        <v>16856.169999999998</v>
      </c>
      <c r="C1059"/>
      <c r="D1059" s="160"/>
    </row>
    <row r="1060" spans="1:4" x14ac:dyDescent="0.3">
      <c r="A1060" s="157">
        <v>43775</v>
      </c>
      <c r="B1060" s="158">
        <v>16791.61</v>
      </c>
      <c r="C1060"/>
      <c r="D1060" s="160"/>
    </row>
    <row r="1061" spans="1:4" x14ac:dyDescent="0.3">
      <c r="A1061" s="157">
        <v>43774</v>
      </c>
      <c r="B1061" s="158">
        <v>16723.060000000001</v>
      </c>
      <c r="C1061"/>
      <c r="D1061" s="160"/>
    </row>
    <row r="1062" spans="1:4" x14ac:dyDescent="0.3">
      <c r="A1062" s="157">
        <v>43773</v>
      </c>
      <c r="B1062" s="158">
        <v>16756.87</v>
      </c>
      <c r="C1062"/>
      <c r="D1062" s="160"/>
    </row>
    <row r="1063" spans="1:4" x14ac:dyDescent="0.3">
      <c r="A1063" s="157">
        <v>43770</v>
      </c>
      <c r="B1063" s="158">
        <v>16685.73</v>
      </c>
      <c r="C1063"/>
      <c r="D1063" s="160"/>
    </row>
    <row r="1064" spans="1:4" x14ac:dyDescent="0.3">
      <c r="A1064" s="157">
        <v>43769</v>
      </c>
      <c r="B1064" s="158">
        <v>16667.29</v>
      </c>
      <c r="C1064"/>
      <c r="D1064" s="160"/>
    </row>
    <row r="1065" spans="1:4" x14ac:dyDescent="0.3">
      <c r="A1065" s="157">
        <v>43768</v>
      </c>
      <c r="B1065" s="158">
        <v>16620.07</v>
      </c>
      <c r="C1065"/>
      <c r="D1065" s="160"/>
    </row>
    <row r="1066" spans="1:4" x14ac:dyDescent="0.3">
      <c r="A1066" s="157">
        <v>43767</v>
      </c>
      <c r="B1066" s="158">
        <v>16539.23</v>
      </c>
      <c r="C1066"/>
      <c r="D1066" s="160"/>
    </row>
    <row r="1067" spans="1:4" x14ac:dyDescent="0.3">
      <c r="A1067" s="157">
        <v>43765</v>
      </c>
      <c r="B1067" s="158">
        <v>16315.17</v>
      </c>
      <c r="C1067"/>
      <c r="D1067" s="160"/>
    </row>
    <row r="1068" spans="1:4" x14ac:dyDescent="0.3">
      <c r="A1068" s="157">
        <v>43763</v>
      </c>
      <c r="B1068" s="158">
        <v>16254.45</v>
      </c>
      <c r="C1068"/>
      <c r="D1068" s="160"/>
    </row>
    <row r="1069" spans="1:4" x14ac:dyDescent="0.3">
      <c r="A1069" s="157">
        <v>43762</v>
      </c>
      <c r="B1069" s="158">
        <v>16252.63</v>
      </c>
      <c r="C1069"/>
      <c r="D1069" s="160"/>
    </row>
    <row r="1070" spans="1:4" x14ac:dyDescent="0.3">
      <c r="A1070" s="157">
        <v>43761</v>
      </c>
      <c r="B1070" s="158">
        <v>16282.84</v>
      </c>
      <c r="C1070"/>
      <c r="D1070" s="160"/>
    </row>
    <row r="1071" spans="1:4" x14ac:dyDescent="0.3">
      <c r="A1071" s="157">
        <v>43760</v>
      </c>
      <c r="B1071" s="158">
        <v>16248.11</v>
      </c>
      <c r="C1071"/>
      <c r="D1071" s="160"/>
    </row>
    <row r="1072" spans="1:4" x14ac:dyDescent="0.3">
      <c r="A1072" s="157">
        <v>43756</v>
      </c>
      <c r="B1072" s="158">
        <v>16351.16</v>
      </c>
      <c r="C1072"/>
      <c r="D1072" s="160"/>
    </row>
    <row r="1073" spans="1:4" x14ac:dyDescent="0.3">
      <c r="A1073" s="157">
        <v>43755</v>
      </c>
      <c r="B1073" s="158">
        <v>16245.31</v>
      </c>
      <c r="C1073"/>
      <c r="D1073" s="160"/>
    </row>
    <row r="1074" spans="1:4" x14ac:dyDescent="0.3">
      <c r="A1074" s="157">
        <v>43754</v>
      </c>
      <c r="B1074" s="158">
        <v>16057.85</v>
      </c>
      <c r="C1074"/>
      <c r="D1074" s="160"/>
    </row>
    <row r="1075" spans="1:4" x14ac:dyDescent="0.3">
      <c r="A1075" s="157">
        <v>43753</v>
      </c>
      <c r="B1075" s="158">
        <v>16007.83</v>
      </c>
      <c r="C1075"/>
      <c r="D1075" s="160"/>
    </row>
    <row r="1076" spans="1:4" x14ac:dyDescent="0.3">
      <c r="A1076" s="157">
        <v>43752</v>
      </c>
      <c r="B1076" s="158">
        <v>15885.74</v>
      </c>
      <c r="C1076"/>
      <c r="D1076" s="160"/>
    </row>
    <row r="1077" spans="1:4" x14ac:dyDescent="0.3">
      <c r="A1077" s="157">
        <v>43749</v>
      </c>
      <c r="B1077" s="158">
        <v>15835.17</v>
      </c>
      <c r="C1077"/>
      <c r="D1077" s="160"/>
    </row>
    <row r="1078" spans="1:4" x14ac:dyDescent="0.3">
      <c r="A1078" s="157">
        <v>43748</v>
      </c>
      <c r="B1078" s="158">
        <v>15736.44</v>
      </c>
      <c r="C1078"/>
      <c r="D1078" s="160"/>
    </row>
    <row r="1079" spans="1:4" x14ac:dyDescent="0.3">
      <c r="A1079" s="157">
        <v>43747</v>
      </c>
      <c r="B1079" s="158">
        <v>15846.77</v>
      </c>
      <c r="C1079"/>
      <c r="D1079" s="160"/>
    </row>
    <row r="1080" spans="1:4" x14ac:dyDescent="0.3">
      <c r="A1080" s="157">
        <v>43745</v>
      </c>
      <c r="B1080" s="158">
        <v>15584.94</v>
      </c>
      <c r="C1080"/>
      <c r="D1080" s="160"/>
    </row>
    <row r="1081" spans="1:4" x14ac:dyDescent="0.3">
      <c r="A1081" s="157">
        <v>43742</v>
      </c>
      <c r="B1081" s="158">
        <v>15652.7</v>
      </c>
      <c r="C1081"/>
      <c r="D1081" s="160"/>
    </row>
    <row r="1082" spans="1:4" x14ac:dyDescent="0.3">
      <c r="A1082" s="157">
        <v>43741</v>
      </c>
      <c r="B1082" s="158">
        <v>15847.7</v>
      </c>
      <c r="C1082"/>
      <c r="D1082" s="160"/>
    </row>
    <row r="1083" spans="1:4" x14ac:dyDescent="0.3">
      <c r="A1083" s="157">
        <v>43739</v>
      </c>
      <c r="B1083" s="158">
        <v>15912.03</v>
      </c>
      <c r="C1083"/>
      <c r="D1083" s="160"/>
    </row>
    <row r="1084" spans="1:4" x14ac:dyDescent="0.3">
      <c r="A1084" s="157">
        <v>43738</v>
      </c>
      <c r="B1084" s="158">
        <v>16072.5</v>
      </c>
      <c r="C1084"/>
      <c r="D1084" s="160"/>
    </row>
    <row r="1085" spans="1:4" x14ac:dyDescent="0.3">
      <c r="A1085" s="157">
        <v>43735</v>
      </c>
      <c r="B1085" s="158">
        <v>16125.65</v>
      </c>
      <c r="C1085"/>
      <c r="D1085" s="160"/>
    </row>
    <row r="1086" spans="1:4" x14ac:dyDescent="0.3">
      <c r="A1086" s="157">
        <v>43734</v>
      </c>
      <c r="B1086" s="158">
        <v>16207.96</v>
      </c>
      <c r="C1086"/>
      <c r="D1086" s="160"/>
    </row>
    <row r="1087" spans="1:4" x14ac:dyDescent="0.3">
      <c r="A1087" s="157">
        <v>43733</v>
      </c>
      <c r="B1087" s="158">
        <v>16024.49</v>
      </c>
      <c r="C1087"/>
      <c r="D1087" s="160"/>
    </row>
    <row r="1088" spans="1:4" x14ac:dyDescent="0.3">
      <c r="A1088" s="157">
        <v>43732</v>
      </c>
      <c r="B1088" s="158">
        <v>16231.83</v>
      </c>
      <c r="C1088"/>
      <c r="D1088" s="160"/>
    </row>
    <row r="1089" spans="1:4" x14ac:dyDescent="0.3">
      <c r="A1089" s="157">
        <v>43731</v>
      </c>
      <c r="B1089" s="158">
        <v>16248.62</v>
      </c>
      <c r="C1089"/>
      <c r="D1089" s="160"/>
    </row>
    <row r="1090" spans="1:4" x14ac:dyDescent="0.3">
      <c r="A1090" s="157">
        <v>43728</v>
      </c>
      <c r="B1090" s="158">
        <v>15791.99</v>
      </c>
      <c r="C1090"/>
      <c r="D1090" s="160"/>
    </row>
    <row r="1091" spans="1:4" x14ac:dyDescent="0.3">
      <c r="A1091" s="157">
        <v>43727</v>
      </c>
      <c r="B1091" s="158">
        <v>14994.39</v>
      </c>
      <c r="C1091"/>
      <c r="D1091" s="160"/>
    </row>
    <row r="1092" spans="1:4" x14ac:dyDescent="0.3">
      <c r="A1092" s="157">
        <v>43726</v>
      </c>
      <c r="B1092" s="158">
        <v>15184.69</v>
      </c>
      <c r="C1092"/>
      <c r="D1092" s="160"/>
    </row>
    <row r="1093" spans="1:4" x14ac:dyDescent="0.3">
      <c r="A1093" s="157">
        <v>43725</v>
      </c>
      <c r="B1093" s="158">
        <v>15152.39</v>
      </c>
      <c r="C1093"/>
      <c r="D1093" s="160"/>
    </row>
    <row r="1094" spans="1:4" x14ac:dyDescent="0.3">
      <c r="A1094" s="157">
        <v>43724</v>
      </c>
      <c r="B1094" s="158">
        <v>15412.83</v>
      </c>
      <c r="C1094"/>
      <c r="D1094" s="160"/>
    </row>
    <row r="1095" spans="1:4" x14ac:dyDescent="0.3">
      <c r="A1095" s="157">
        <v>43721</v>
      </c>
      <c r="B1095" s="158">
        <v>15514.2</v>
      </c>
      <c r="C1095"/>
      <c r="D1095" s="160"/>
    </row>
    <row r="1096" spans="1:4" x14ac:dyDescent="0.3">
      <c r="A1096" s="157">
        <v>43720</v>
      </c>
      <c r="B1096" s="158">
        <v>15383.82</v>
      </c>
      <c r="C1096"/>
      <c r="D1096" s="160"/>
    </row>
    <row r="1097" spans="1:4" x14ac:dyDescent="0.3">
      <c r="A1097" s="157">
        <v>43719</v>
      </c>
      <c r="B1097" s="158">
        <v>15457.9</v>
      </c>
      <c r="C1097"/>
      <c r="D1097" s="160"/>
    </row>
    <row r="1098" spans="1:4" x14ac:dyDescent="0.3">
      <c r="A1098" s="157">
        <v>43717</v>
      </c>
      <c r="B1098" s="158">
        <v>15412.14</v>
      </c>
      <c r="C1098"/>
      <c r="D1098" s="160"/>
    </row>
    <row r="1099" spans="1:4" x14ac:dyDescent="0.3">
      <c r="A1099" s="157">
        <v>43714</v>
      </c>
      <c r="B1099" s="158">
        <v>15332.57</v>
      </c>
      <c r="C1099"/>
      <c r="D1099" s="160"/>
    </row>
    <row r="1100" spans="1:4" x14ac:dyDescent="0.3">
      <c r="A1100" s="157">
        <v>43713</v>
      </c>
      <c r="B1100" s="158">
        <v>15194.86</v>
      </c>
      <c r="C1100"/>
      <c r="D1100" s="160"/>
    </row>
    <row r="1101" spans="1:4" x14ac:dyDescent="0.3">
      <c r="A1101" s="157">
        <v>43712</v>
      </c>
      <c r="B1101" s="158">
        <v>15190.3</v>
      </c>
      <c r="C1101"/>
      <c r="D1101" s="160"/>
    </row>
    <row r="1102" spans="1:4" x14ac:dyDescent="0.3">
      <c r="A1102" s="157">
        <v>43711</v>
      </c>
      <c r="B1102" s="158">
        <v>15124.8</v>
      </c>
      <c r="C1102"/>
      <c r="D1102" s="160"/>
    </row>
    <row r="1103" spans="1:4" x14ac:dyDescent="0.3">
      <c r="A1103" s="157">
        <v>43707</v>
      </c>
      <c r="B1103" s="158">
        <v>15440.47</v>
      </c>
      <c r="C1103"/>
      <c r="D1103" s="160"/>
    </row>
    <row r="1104" spans="1:4" x14ac:dyDescent="0.3">
      <c r="A1104" s="157">
        <v>43706</v>
      </c>
      <c r="B1104" s="158">
        <v>15335.45</v>
      </c>
      <c r="C1104"/>
      <c r="D1104" s="160"/>
    </row>
    <row r="1105" spans="1:4" x14ac:dyDescent="0.3">
      <c r="A1105" s="157">
        <v>43705</v>
      </c>
      <c r="B1105" s="158">
        <v>15472.44</v>
      </c>
      <c r="C1105"/>
      <c r="D1105" s="160"/>
    </row>
    <row r="1106" spans="1:4" x14ac:dyDescent="0.3">
      <c r="A1106" s="157">
        <v>43704</v>
      </c>
      <c r="B1106" s="158">
        <v>15555.44</v>
      </c>
      <c r="C1106"/>
      <c r="D1106" s="160"/>
    </row>
    <row r="1107" spans="1:4" x14ac:dyDescent="0.3">
      <c r="A1107" s="157">
        <v>43703</v>
      </c>
      <c r="B1107" s="158">
        <v>15488.96</v>
      </c>
      <c r="C1107"/>
      <c r="D1107" s="160"/>
    </row>
    <row r="1108" spans="1:4" x14ac:dyDescent="0.3">
      <c r="A1108" s="157">
        <v>43700</v>
      </c>
      <c r="B1108" s="158">
        <v>15168.88</v>
      </c>
      <c r="C1108"/>
      <c r="D1108" s="160"/>
    </row>
    <row r="1109" spans="1:4" x14ac:dyDescent="0.3">
      <c r="A1109" s="157">
        <v>43699</v>
      </c>
      <c r="B1109" s="158">
        <v>15045.62</v>
      </c>
      <c r="C1109"/>
      <c r="D1109" s="160"/>
    </row>
    <row r="1110" spans="1:4" x14ac:dyDescent="0.3">
      <c r="A1110" s="157">
        <v>43698</v>
      </c>
      <c r="B1110" s="158">
        <v>15290.85</v>
      </c>
      <c r="C1110"/>
      <c r="D1110" s="160"/>
    </row>
    <row r="1111" spans="1:4" x14ac:dyDescent="0.3">
      <c r="A1111" s="157">
        <v>43697</v>
      </c>
      <c r="B1111" s="158">
        <v>15425.45</v>
      </c>
      <c r="C1111"/>
      <c r="D1111" s="160"/>
    </row>
    <row r="1112" spans="1:4" x14ac:dyDescent="0.3">
      <c r="A1112" s="157">
        <v>43696</v>
      </c>
      <c r="B1112" s="158">
        <v>15476.07</v>
      </c>
      <c r="C1112"/>
      <c r="D1112" s="160"/>
    </row>
    <row r="1113" spans="1:4" x14ac:dyDescent="0.3">
      <c r="A1113" s="157">
        <v>43693</v>
      </c>
      <c r="B1113" s="158">
        <v>15464.58</v>
      </c>
      <c r="C1113"/>
      <c r="D1113" s="160"/>
    </row>
    <row r="1114" spans="1:4" x14ac:dyDescent="0.3">
      <c r="A1114" s="157">
        <v>43691</v>
      </c>
      <c r="B1114" s="158">
        <v>15438.86</v>
      </c>
      <c r="C1114"/>
      <c r="D1114" s="160"/>
    </row>
    <row r="1115" spans="1:4" x14ac:dyDescent="0.3">
      <c r="A1115" s="157">
        <v>43690</v>
      </c>
      <c r="B1115" s="158">
        <v>15289.35</v>
      </c>
      <c r="C1115"/>
      <c r="D1115" s="160"/>
    </row>
    <row r="1116" spans="1:4" x14ac:dyDescent="0.3">
      <c r="A1116" s="157">
        <v>43686</v>
      </c>
      <c r="B1116" s="158">
        <v>15542.72</v>
      </c>
      <c r="C1116"/>
      <c r="D1116" s="160"/>
    </row>
    <row r="1117" spans="1:4" x14ac:dyDescent="0.3">
      <c r="A1117" s="157">
        <v>43685</v>
      </c>
      <c r="B1117" s="158">
        <v>15434.73</v>
      </c>
      <c r="C1117"/>
      <c r="D1117" s="160"/>
    </row>
    <row r="1118" spans="1:4" x14ac:dyDescent="0.3">
      <c r="A1118" s="157">
        <v>43684</v>
      </c>
      <c r="B1118" s="158">
        <v>15184.34</v>
      </c>
      <c r="C1118"/>
      <c r="D1118" s="160"/>
    </row>
    <row r="1119" spans="1:4" x14ac:dyDescent="0.3">
      <c r="A1119" s="157">
        <v>43683</v>
      </c>
      <c r="B1119" s="158">
        <v>15314.03</v>
      </c>
      <c r="C1119"/>
      <c r="D1119" s="160"/>
    </row>
    <row r="1120" spans="1:4" x14ac:dyDescent="0.3">
      <c r="A1120" s="157">
        <v>43682</v>
      </c>
      <c r="B1120" s="158">
        <v>15194.27</v>
      </c>
      <c r="C1120"/>
      <c r="D1120" s="160"/>
    </row>
    <row r="1121" spans="1:4" x14ac:dyDescent="0.3">
      <c r="A1121" s="157">
        <v>43679</v>
      </c>
      <c r="B1121" s="158">
        <v>15382.73</v>
      </c>
      <c r="C1121"/>
      <c r="D1121" s="160"/>
    </row>
    <row r="1122" spans="1:4" x14ac:dyDescent="0.3">
      <c r="A1122" s="157">
        <v>43678</v>
      </c>
      <c r="B1122" s="158">
        <v>15350.83</v>
      </c>
      <c r="C1122"/>
      <c r="D1122" s="160"/>
    </row>
    <row r="1123" spans="1:4" x14ac:dyDescent="0.3">
      <c r="A1123" s="157">
        <v>43677</v>
      </c>
      <c r="B1123" s="158">
        <v>15539.43</v>
      </c>
      <c r="C1123"/>
      <c r="D1123" s="160"/>
    </row>
    <row r="1124" spans="1:4" x14ac:dyDescent="0.3">
      <c r="A1124" s="157">
        <v>43676</v>
      </c>
      <c r="B1124" s="158">
        <v>15493.33</v>
      </c>
      <c r="C1124"/>
      <c r="D1124" s="160"/>
    </row>
    <row r="1125" spans="1:4" x14ac:dyDescent="0.3">
      <c r="A1125" s="157">
        <v>43675</v>
      </c>
      <c r="B1125" s="158">
        <v>15638.42</v>
      </c>
      <c r="C1125"/>
      <c r="D1125" s="160"/>
    </row>
    <row r="1126" spans="1:4" x14ac:dyDescent="0.3">
      <c r="A1126" s="157">
        <v>43672</v>
      </c>
      <c r="B1126" s="158">
        <v>15770.63</v>
      </c>
      <c r="C1126"/>
      <c r="D1126" s="160"/>
    </row>
    <row r="1127" spans="1:4" x14ac:dyDescent="0.3">
      <c r="A1127" s="157">
        <v>43671</v>
      </c>
      <c r="B1127" s="158">
        <v>15725.6</v>
      </c>
      <c r="C1127"/>
      <c r="D1127" s="160"/>
    </row>
    <row r="1128" spans="1:4" x14ac:dyDescent="0.3">
      <c r="A1128" s="157">
        <v>43670</v>
      </c>
      <c r="B1128" s="158">
        <v>15749.37</v>
      </c>
      <c r="C1128"/>
      <c r="D1128" s="160"/>
    </row>
    <row r="1129" spans="1:4" x14ac:dyDescent="0.3">
      <c r="A1129" s="157">
        <v>43669</v>
      </c>
      <c r="B1129" s="158">
        <v>15824.55</v>
      </c>
      <c r="C1129"/>
      <c r="D1129" s="160"/>
    </row>
    <row r="1130" spans="1:4" x14ac:dyDescent="0.3">
      <c r="A1130" s="157">
        <v>43668</v>
      </c>
      <c r="B1130" s="158">
        <v>15845.74</v>
      </c>
      <c r="C1130"/>
      <c r="D1130" s="160"/>
    </row>
    <row r="1131" spans="1:4" x14ac:dyDescent="0.3">
      <c r="A1131" s="157">
        <v>43665</v>
      </c>
      <c r="B1131" s="158">
        <v>15945.55</v>
      </c>
      <c r="C1131"/>
      <c r="D1131" s="160"/>
    </row>
    <row r="1132" spans="1:4" x14ac:dyDescent="0.3">
      <c r="A1132" s="157">
        <v>43664</v>
      </c>
      <c r="B1132" s="158">
        <v>16183.16</v>
      </c>
      <c r="C1132"/>
      <c r="D1132" s="160"/>
    </row>
    <row r="1133" spans="1:4" x14ac:dyDescent="0.3">
      <c r="A1133" s="157">
        <v>43663</v>
      </c>
      <c r="B1133" s="158">
        <v>16306.82</v>
      </c>
      <c r="C1133"/>
      <c r="D1133" s="160"/>
    </row>
    <row r="1134" spans="1:4" x14ac:dyDescent="0.3">
      <c r="A1134" s="157">
        <v>43662</v>
      </c>
      <c r="B1134" s="158">
        <v>16272.08</v>
      </c>
      <c r="C1134"/>
      <c r="D1134" s="160"/>
    </row>
    <row r="1135" spans="1:4" x14ac:dyDescent="0.3">
      <c r="A1135" s="157">
        <v>43661</v>
      </c>
      <c r="B1135" s="158">
        <v>16165.28</v>
      </c>
      <c r="C1135"/>
      <c r="D1135" s="160"/>
    </row>
    <row r="1136" spans="1:4" x14ac:dyDescent="0.3">
      <c r="A1136" s="157">
        <v>43658</v>
      </c>
      <c r="B1136" s="158">
        <v>16113.75</v>
      </c>
      <c r="C1136"/>
      <c r="D1136" s="160"/>
    </row>
    <row r="1137" spans="1:4" x14ac:dyDescent="0.3">
      <c r="A1137" s="157">
        <v>43657</v>
      </c>
      <c r="B1137" s="158">
        <v>16155.78</v>
      </c>
      <c r="C1137"/>
      <c r="D1137" s="160"/>
    </row>
    <row r="1138" spans="1:4" x14ac:dyDescent="0.3">
      <c r="A1138" s="157">
        <v>43656</v>
      </c>
      <c r="B1138" s="158">
        <v>16035.44</v>
      </c>
      <c r="C1138"/>
      <c r="D1138" s="160"/>
    </row>
    <row r="1139" spans="1:4" x14ac:dyDescent="0.3">
      <c r="A1139" s="157">
        <v>43655</v>
      </c>
      <c r="B1139" s="158">
        <v>16114.46</v>
      </c>
      <c r="C1139"/>
      <c r="D1139" s="160"/>
    </row>
    <row r="1140" spans="1:4" x14ac:dyDescent="0.3">
      <c r="A1140" s="157">
        <v>43654</v>
      </c>
      <c r="B1140" s="158">
        <v>16118.27</v>
      </c>
      <c r="C1140"/>
      <c r="D1140" s="160"/>
    </row>
    <row r="1141" spans="1:4" x14ac:dyDescent="0.3">
      <c r="A1141" s="157">
        <v>43651</v>
      </c>
      <c r="B1141" s="158">
        <v>16468.990000000002</v>
      </c>
      <c r="C1141"/>
      <c r="D1141" s="160"/>
    </row>
    <row r="1142" spans="1:4" x14ac:dyDescent="0.3">
      <c r="A1142" s="157">
        <v>43650</v>
      </c>
      <c r="B1142" s="158">
        <v>16658.04</v>
      </c>
      <c r="C1142"/>
      <c r="D1142" s="160"/>
    </row>
    <row r="1143" spans="1:4" x14ac:dyDescent="0.3">
      <c r="A1143" s="157">
        <v>43649</v>
      </c>
      <c r="B1143" s="158">
        <v>16612.16</v>
      </c>
      <c r="C1143"/>
      <c r="D1143" s="160"/>
    </row>
    <row r="1144" spans="1:4" x14ac:dyDescent="0.3">
      <c r="A1144" s="157">
        <v>43648</v>
      </c>
      <c r="B1144" s="158">
        <v>16603.169999999998</v>
      </c>
      <c r="C1144"/>
      <c r="D1144" s="160"/>
    </row>
    <row r="1145" spans="1:4" x14ac:dyDescent="0.3">
      <c r="A1145" s="157">
        <v>43647</v>
      </c>
      <c r="B1145" s="158">
        <v>16540.88</v>
      </c>
      <c r="C1145"/>
      <c r="D1145" s="160"/>
    </row>
    <row r="1146" spans="1:4" x14ac:dyDescent="0.3">
      <c r="A1146" s="157">
        <v>43644</v>
      </c>
      <c r="B1146" s="158">
        <v>16433.849999999999</v>
      </c>
      <c r="C1146"/>
      <c r="D1146" s="160"/>
    </row>
    <row r="1147" spans="1:4" x14ac:dyDescent="0.3">
      <c r="A1147" s="157">
        <v>43643</v>
      </c>
      <c r="B1147" s="158">
        <v>16507.34</v>
      </c>
      <c r="C1147"/>
      <c r="D1147" s="160"/>
    </row>
    <row r="1148" spans="1:4" x14ac:dyDescent="0.3">
      <c r="A1148" s="157">
        <v>43642</v>
      </c>
      <c r="B1148" s="158">
        <v>16515.68</v>
      </c>
      <c r="C1148"/>
      <c r="D1148" s="160"/>
    </row>
    <row r="1149" spans="1:4" x14ac:dyDescent="0.3">
      <c r="A1149" s="157">
        <v>43641</v>
      </c>
      <c r="B1149" s="158">
        <v>16444.46</v>
      </c>
      <c r="C1149"/>
      <c r="D1149" s="160"/>
    </row>
    <row r="1150" spans="1:4" x14ac:dyDescent="0.3">
      <c r="A1150" s="157">
        <v>43640</v>
      </c>
      <c r="B1150" s="158">
        <v>16309.52</v>
      </c>
      <c r="C1150"/>
      <c r="D1150" s="160"/>
    </row>
    <row r="1151" spans="1:4" x14ac:dyDescent="0.3">
      <c r="A1151" s="157">
        <v>43637</v>
      </c>
      <c r="B1151" s="158">
        <v>16343.59</v>
      </c>
      <c r="C1151"/>
      <c r="D1151" s="160"/>
    </row>
    <row r="1152" spans="1:4" x14ac:dyDescent="0.3">
      <c r="A1152" s="157">
        <v>43636</v>
      </c>
      <c r="B1152" s="158">
        <v>16493.650000000001</v>
      </c>
      <c r="C1152"/>
      <c r="D1152" s="160"/>
    </row>
    <row r="1153" spans="1:4" x14ac:dyDescent="0.3">
      <c r="A1153" s="157">
        <v>43635</v>
      </c>
      <c r="B1153" s="158">
        <v>16283.94</v>
      </c>
      <c r="C1153"/>
      <c r="D1153" s="160"/>
    </row>
    <row r="1154" spans="1:4" x14ac:dyDescent="0.3">
      <c r="A1154" s="157">
        <v>43634</v>
      </c>
      <c r="B1154" s="158">
        <v>16283.98</v>
      </c>
      <c r="C1154"/>
      <c r="D1154" s="160"/>
    </row>
    <row r="1155" spans="1:4" x14ac:dyDescent="0.3">
      <c r="A1155" s="157">
        <v>43633</v>
      </c>
      <c r="B1155" s="158">
        <v>16257.06</v>
      </c>
      <c r="C1155"/>
      <c r="D1155" s="160"/>
    </row>
    <row r="1156" spans="1:4" x14ac:dyDescent="0.3">
      <c r="A1156" s="157">
        <v>43630</v>
      </c>
      <c r="B1156" s="158">
        <v>16467.55</v>
      </c>
      <c r="C1156"/>
      <c r="D1156" s="160"/>
    </row>
    <row r="1157" spans="1:4" x14ac:dyDescent="0.3">
      <c r="A1157" s="157">
        <v>43629</v>
      </c>
      <c r="B1157" s="158">
        <v>16593.97</v>
      </c>
      <c r="C1157"/>
      <c r="D1157" s="160"/>
    </row>
    <row r="1158" spans="1:4" x14ac:dyDescent="0.3">
      <c r="A1158" s="157">
        <v>43628</v>
      </c>
      <c r="B1158" s="158">
        <v>16568.09</v>
      </c>
      <c r="C1158"/>
      <c r="D1158" s="160"/>
    </row>
    <row r="1159" spans="1:4" x14ac:dyDescent="0.3">
      <c r="A1159" s="157">
        <v>43627</v>
      </c>
      <c r="B1159" s="158">
        <v>16650.75</v>
      </c>
      <c r="C1159"/>
      <c r="D1159" s="160"/>
    </row>
    <row r="1160" spans="1:4" x14ac:dyDescent="0.3">
      <c r="A1160" s="157">
        <v>43626</v>
      </c>
      <c r="B1160" s="158">
        <v>16590.990000000002</v>
      </c>
      <c r="C1160"/>
      <c r="D1160" s="160"/>
    </row>
    <row r="1161" spans="1:4" x14ac:dyDescent="0.3">
      <c r="A1161" s="157">
        <v>43623</v>
      </c>
      <c r="B1161" s="158">
        <v>16518.62</v>
      </c>
      <c r="C1161"/>
      <c r="D1161" s="160"/>
    </row>
    <row r="1162" spans="1:4" x14ac:dyDescent="0.3">
      <c r="A1162" s="157">
        <v>43622</v>
      </c>
      <c r="B1162" s="158">
        <v>16481.14</v>
      </c>
      <c r="C1162"/>
      <c r="D1162" s="160"/>
    </row>
    <row r="1163" spans="1:4" x14ac:dyDescent="0.3">
      <c r="A1163" s="157">
        <v>43620</v>
      </c>
      <c r="B1163" s="158">
        <v>16728.740000000002</v>
      </c>
      <c r="C1163"/>
      <c r="D1163" s="160"/>
    </row>
    <row r="1164" spans="1:4" x14ac:dyDescent="0.3">
      <c r="A1164" s="157">
        <v>43619</v>
      </c>
      <c r="B1164" s="158">
        <v>16815.25</v>
      </c>
      <c r="C1164"/>
      <c r="D1164" s="160"/>
    </row>
    <row r="1165" spans="1:4" x14ac:dyDescent="0.3">
      <c r="A1165" s="157">
        <v>43616</v>
      </c>
      <c r="B1165" s="158">
        <v>16583.46</v>
      </c>
      <c r="C1165"/>
      <c r="D1165" s="160"/>
    </row>
    <row r="1166" spans="1:4" x14ac:dyDescent="0.3">
      <c r="A1166" s="157">
        <v>43615</v>
      </c>
      <c r="B1166" s="158">
        <v>16615.59</v>
      </c>
      <c r="C1166"/>
      <c r="D1166" s="160"/>
    </row>
    <row r="1167" spans="1:4" x14ac:dyDescent="0.3">
      <c r="A1167" s="157">
        <v>43614</v>
      </c>
      <c r="B1167" s="158">
        <v>16497.62</v>
      </c>
      <c r="C1167"/>
      <c r="D1167" s="160"/>
    </row>
    <row r="1168" spans="1:4" x14ac:dyDescent="0.3">
      <c r="A1168" s="157">
        <v>43613</v>
      </c>
      <c r="B1168" s="158">
        <v>16591.7</v>
      </c>
      <c r="C1168"/>
      <c r="D1168" s="160"/>
    </row>
    <row r="1169" spans="1:4" x14ac:dyDescent="0.3">
      <c r="A1169" s="157">
        <v>43612</v>
      </c>
      <c r="B1169" s="158">
        <v>16585.13</v>
      </c>
      <c r="C1169"/>
      <c r="D1169" s="160"/>
    </row>
    <row r="1170" spans="1:4" x14ac:dyDescent="0.3">
      <c r="A1170" s="157">
        <v>43609</v>
      </c>
      <c r="B1170" s="158">
        <v>16472.95</v>
      </c>
      <c r="C1170"/>
      <c r="D1170" s="160"/>
    </row>
    <row r="1171" spans="1:4" x14ac:dyDescent="0.3">
      <c r="A1171" s="157">
        <v>43608</v>
      </c>
      <c r="B1171" s="158">
        <v>16212.78</v>
      </c>
      <c r="C1171"/>
      <c r="D1171" s="160"/>
    </row>
    <row r="1172" spans="1:4" x14ac:dyDescent="0.3">
      <c r="A1172" s="157">
        <v>43607</v>
      </c>
      <c r="B1172" s="158">
        <v>16325.28</v>
      </c>
      <c r="C1172"/>
      <c r="D1172" s="160"/>
    </row>
    <row r="1173" spans="1:4" x14ac:dyDescent="0.3">
      <c r="A1173" s="157">
        <v>43606</v>
      </c>
      <c r="B1173" s="158">
        <v>16268.26</v>
      </c>
      <c r="C1173"/>
      <c r="D1173" s="160"/>
    </row>
    <row r="1174" spans="1:4" x14ac:dyDescent="0.3">
      <c r="A1174" s="157">
        <v>43605</v>
      </c>
      <c r="B1174" s="158">
        <v>16433.77</v>
      </c>
      <c r="C1174"/>
      <c r="D1174" s="160"/>
    </row>
    <row r="1175" spans="1:4" x14ac:dyDescent="0.3">
      <c r="A1175" s="157">
        <v>43602</v>
      </c>
      <c r="B1175" s="158">
        <v>15848.71</v>
      </c>
      <c r="C1175"/>
      <c r="D1175" s="160"/>
    </row>
    <row r="1176" spans="1:4" x14ac:dyDescent="0.3">
      <c r="A1176" s="157">
        <v>43601</v>
      </c>
      <c r="B1176" s="158">
        <v>15640.22</v>
      </c>
      <c r="C1176"/>
      <c r="D1176" s="160"/>
    </row>
    <row r="1177" spans="1:4" x14ac:dyDescent="0.3">
      <c r="A1177" s="157">
        <v>43600</v>
      </c>
      <c r="B1177" s="158">
        <v>15500.82</v>
      </c>
      <c r="C1177"/>
      <c r="D1177" s="160"/>
    </row>
    <row r="1178" spans="1:4" x14ac:dyDescent="0.3">
      <c r="A1178" s="157">
        <v>43599</v>
      </c>
      <c r="B1178" s="158">
        <v>15591.19</v>
      </c>
      <c r="C1178"/>
      <c r="D1178" s="160"/>
    </row>
    <row r="1179" spans="1:4" x14ac:dyDescent="0.3">
      <c r="A1179" s="157">
        <v>43598</v>
      </c>
      <c r="B1179" s="158">
        <v>15488.6</v>
      </c>
      <c r="C1179"/>
      <c r="D1179" s="160"/>
    </row>
    <row r="1180" spans="1:4" x14ac:dyDescent="0.3">
      <c r="A1180" s="157">
        <v>43595</v>
      </c>
      <c r="B1180" s="158">
        <v>15670.18</v>
      </c>
      <c r="C1180"/>
      <c r="D1180" s="160"/>
    </row>
    <row r="1181" spans="1:4" x14ac:dyDescent="0.3">
      <c r="A1181" s="157">
        <v>43594</v>
      </c>
      <c r="B1181" s="158">
        <v>15701.95</v>
      </c>
      <c r="C1181"/>
      <c r="D1181" s="160"/>
    </row>
    <row r="1182" spans="1:4" x14ac:dyDescent="0.3">
      <c r="A1182" s="157">
        <v>43593</v>
      </c>
      <c r="B1182" s="158">
        <v>15782.09</v>
      </c>
      <c r="C1182"/>
      <c r="D1182" s="160"/>
    </row>
    <row r="1183" spans="1:4" x14ac:dyDescent="0.3">
      <c r="A1183" s="157">
        <v>43592</v>
      </c>
      <c r="B1183" s="158">
        <v>15974.41</v>
      </c>
      <c r="C1183"/>
      <c r="D1183" s="160"/>
    </row>
    <row r="1184" spans="1:4" x14ac:dyDescent="0.3">
      <c r="A1184" s="157">
        <v>43591</v>
      </c>
      <c r="B1184" s="158">
        <v>16110.44</v>
      </c>
      <c r="C1184"/>
      <c r="D1184" s="160"/>
    </row>
    <row r="1185" spans="1:4" x14ac:dyDescent="0.3">
      <c r="A1185" s="157">
        <v>43588</v>
      </c>
      <c r="B1185" s="158">
        <v>16268.79</v>
      </c>
      <c r="C1185"/>
      <c r="D1185" s="160"/>
    </row>
    <row r="1186" spans="1:4" x14ac:dyDescent="0.3">
      <c r="A1186" s="157">
        <v>43587</v>
      </c>
      <c r="B1186" s="158">
        <v>16286.18</v>
      </c>
      <c r="C1186"/>
      <c r="D1186" s="160"/>
    </row>
    <row r="1187" spans="1:4" x14ac:dyDescent="0.3">
      <c r="A1187" s="157">
        <v>43585</v>
      </c>
      <c r="B1187" s="158">
        <v>16318.66</v>
      </c>
      <c r="C1187"/>
      <c r="D1187" s="160"/>
    </row>
    <row r="1188" spans="1:4" x14ac:dyDescent="0.3">
      <c r="A1188" s="157">
        <v>43581</v>
      </c>
      <c r="B1188" s="158">
        <v>16327.7</v>
      </c>
      <c r="C1188"/>
      <c r="D1188" s="160"/>
    </row>
    <row r="1189" spans="1:4" x14ac:dyDescent="0.3">
      <c r="A1189" s="157">
        <v>43580</v>
      </c>
      <c r="B1189" s="158">
        <v>16170.98</v>
      </c>
      <c r="C1189"/>
      <c r="D1189" s="160"/>
    </row>
    <row r="1190" spans="1:4" x14ac:dyDescent="0.3">
      <c r="A1190" s="157">
        <v>43579</v>
      </c>
      <c r="B1190" s="158">
        <v>16288.16</v>
      </c>
      <c r="C1190"/>
      <c r="D1190" s="160"/>
    </row>
    <row r="1191" spans="1:4" x14ac:dyDescent="0.3">
      <c r="A1191" s="157">
        <v>43578</v>
      </c>
      <c r="B1191" s="158">
        <v>16079.51</v>
      </c>
      <c r="C1191"/>
      <c r="D1191" s="160"/>
    </row>
    <row r="1192" spans="1:4" x14ac:dyDescent="0.3">
      <c r="A1192" s="157">
        <v>43577</v>
      </c>
      <c r="B1192" s="158">
        <v>16105.19</v>
      </c>
      <c r="C1192"/>
      <c r="D1192" s="160"/>
    </row>
    <row r="1193" spans="1:4" x14ac:dyDescent="0.3">
      <c r="A1193" s="157">
        <v>43573</v>
      </c>
      <c r="B1193" s="158">
        <v>16325.13</v>
      </c>
      <c r="C1193"/>
      <c r="D1193" s="160"/>
    </row>
    <row r="1194" spans="1:4" x14ac:dyDescent="0.3">
      <c r="A1194" s="157">
        <v>43571</v>
      </c>
      <c r="B1194" s="158">
        <v>16372.86</v>
      </c>
      <c r="C1194"/>
      <c r="D1194" s="160"/>
    </row>
    <row r="1195" spans="1:4" x14ac:dyDescent="0.3">
      <c r="A1195" s="157">
        <v>43570</v>
      </c>
      <c r="B1195" s="158">
        <v>16238.41</v>
      </c>
      <c r="C1195"/>
      <c r="D1195" s="160"/>
    </row>
    <row r="1196" spans="1:4" x14ac:dyDescent="0.3">
      <c r="A1196" s="157">
        <v>43567</v>
      </c>
      <c r="B1196" s="158">
        <v>16173.27</v>
      </c>
      <c r="C1196"/>
      <c r="D1196" s="160"/>
    </row>
    <row r="1197" spans="1:4" x14ac:dyDescent="0.3">
      <c r="A1197" s="157">
        <v>43566</v>
      </c>
      <c r="B1197" s="158">
        <v>16108.32</v>
      </c>
      <c r="C1197"/>
      <c r="D1197" s="160"/>
    </row>
    <row r="1198" spans="1:4" x14ac:dyDescent="0.3">
      <c r="A1198" s="157">
        <v>43565</v>
      </c>
      <c r="B1198" s="158">
        <v>16091.08</v>
      </c>
      <c r="C1198"/>
      <c r="D1198" s="160"/>
    </row>
    <row r="1199" spans="1:4" x14ac:dyDescent="0.3">
      <c r="A1199" s="157">
        <v>43564</v>
      </c>
      <c r="B1199" s="158">
        <v>16212.81</v>
      </c>
      <c r="C1199"/>
      <c r="D1199" s="160"/>
    </row>
    <row r="1200" spans="1:4" x14ac:dyDescent="0.3">
      <c r="A1200" s="157">
        <v>43563</v>
      </c>
      <c r="B1200" s="158">
        <v>16119.14</v>
      </c>
      <c r="C1200"/>
      <c r="D1200" s="160"/>
    </row>
    <row r="1201" spans="1:4" x14ac:dyDescent="0.3">
      <c r="A1201" s="157">
        <v>43560</v>
      </c>
      <c r="B1201" s="158">
        <v>16204.48</v>
      </c>
      <c r="C1201"/>
      <c r="D1201" s="160"/>
    </row>
    <row r="1202" spans="1:4" x14ac:dyDescent="0.3">
      <c r="A1202" s="157">
        <v>43559</v>
      </c>
      <c r="B1202" s="158">
        <v>16110.09</v>
      </c>
      <c r="C1202"/>
      <c r="D1202" s="160"/>
    </row>
    <row r="1203" spans="1:4" x14ac:dyDescent="0.3">
      <c r="A1203" s="157">
        <v>43558</v>
      </c>
      <c r="B1203" s="158">
        <v>16173.92</v>
      </c>
      <c r="C1203"/>
      <c r="D1203" s="160"/>
    </row>
    <row r="1204" spans="1:4" x14ac:dyDescent="0.3">
      <c r="A1204" s="157">
        <v>43557</v>
      </c>
      <c r="B1204" s="158">
        <v>16270.13</v>
      </c>
      <c r="C1204"/>
      <c r="D1204" s="160"/>
    </row>
    <row r="1205" spans="1:4" x14ac:dyDescent="0.3">
      <c r="A1205" s="157">
        <v>43556</v>
      </c>
      <c r="B1205" s="158">
        <v>16208.94</v>
      </c>
      <c r="C1205"/>
      <c r="D1205" s="160"/>
    </row>
    <row r="1206" spans="1:4" x14ac:dyDescent="0.3">
      <c r="A1206" s="157">
        <v>43553</v>
      </c>
      <c r="B1206" s="158">
        <v>16146.11</v>
      </c>
      <c r="C1206"/>
      <c r="D1206" s="160"/>
    </row>
    <row r="1207" spans="1:4" x14ac:dyDescent="0.3">
      <c r="A1207" s="157">
        <v>43552</v>
      </c>
      <c r="B1207" s="158">
        <v>16071.26</v>
      </c>
      <c r="C1207"/>
      <c r="D1207" s="160"/>
    </row>
    <row r="1208" spans="1:4" x14ac:dyDescent="0.3">
      <c r="A1208" s="157">
        <v>43551</v>
      </c>
      <c r="B1208" s="158">
        <v>15897.65</v>
      </c>
      <c r="C1208"/>
      <c r="D1208" s="160"/>
    </row>
    <row r="1209" spans="1:4" x14ac:dyDescent="0.3">
      <c r="A1209" s="157">
        <v>43550</v>
      </c>
      <c r="B1209" s="158">
        <v>15949.46</v>
      </c>
      <c r="C1209"/>
      <c r="D1209" s="160"/>
    </row>
    <row r="1210" spans="1:4" x14ac:dyDescent="0.3">
      <c r="A1210" s="157">
        <v>43549</v>
      </c>
      <c r="B1210" s="158">
        <v>15770.26</v>
      </c>
      <c r="C1210"/>
      <c r="D1210" s="160"/>
    </row>
    <row r="1211" spans="1:4" x14ac:dyDescent="0.3">
      <c r="A1211" s="157">
        <v>43546</v>
      </c>
      <c r="B1211" s="158">
        <v>15912.88</v>
      </c>
      <c r="C1211"/>
      <c r="D1211" s="160"/>
    </row>
    <row r="1212" spans="1:4" x14ac:dyDescent="0.3">
      <c r="A1212" s="157">
        <v>43544</v>
      </c>
      <c r="B1212" s="158">
        <v>15998.51</v>
      </c>
      <c r="C1212"/>
      <c r="D1212" s="160"/>
    </row>
    <row r="1213" spans="1:4" x14ac:dyDescent="0.3">
      <c r="A1213" s="157">
        <v>43543</v>
      </c>
      <c r="B1213" s="158">
        <v>16014.33</v>
      </c>
      <c r="C1213"/>
      <c r="D1213" s="160"/>
    </row>
    <row r="1214" spans="1:4" x14ac:dyDescent="0.3">
      <c r="A1214" s="157">
        <v>43542</v>
      </c>
      <c r="B1214" s="158">
        <v>15916.8</v>
      </c>
      <c r="C1214"/>
      <c r="D1214" s="160"/>
    </row>
    <row r="1215" spans="1:4" x14ac:dyDescent="0.3">
      <c r="A1215" s="157">
        <v>43539</v>
      </c>
      <c r="B1215" s="158">
        <v>15867.74</v>
      </c>
      <c r="C1215"/>
      <c r="D1215" s="160"/>
    </row>
    <row r="1216" spans="1:4" x14ac:dyDescent="0.3">
      <c r="A1216" s="157">
        <v>43538</v>
      </c>
      <c r="B1216" s="158">
        <v>15749.67</v>
      </c>
      <c r="C1216"/>
      <c r="D1216" s="160"/>
    </row>
    <row r="1217" spans="1:4" x14ac:dyDescent="0.3">
      <c r="A1217" s="157">
        <v>43537</v>
      </c>
      <c r="B1217" s="158">
        <v>15742.86</v>
      </c>
      <c r="C1217"/>
      <c r="D1217" s="160"/>
    </row>
    <row r="1218" spans="1:4" x14ac:dyDescent="0.3">
      <c r="A1218" s="157">
        <v>43536</v>
      </c>
      <c r="B1218" s="158">
        <v>15685.41</v>
      </c>
      <c r="C1218"/>
      <c r="D1218" s="160"/>
    </row>
    <row r="1219" spans="1:4" x14ac:dyDescent="0.3">
      <c r="A1219" s="157">
        <v>43535</v>
      </c>
      <c r="B1219" s="158">
        <v>15500.61</v>
      </c>
      <c r="C1219"/>
      <c r="D1219" s="160"/>
    </row>
    <row r="1220" spans="1:4" x14ac:dyDescent="0.3">
      <c r="A1220" s="157">
        <v>43532</v>
      </c>
      <c r="B1220" s="158">
        <v>15316.51</v>
      </c>
      <c r="C1220"/>
      <c r="D1220" s="160"/>
    </row>
    <row r="1221" spans="1:4" x14ac:dyDescent="0.3">
      <c r="A1221" s="157">
        <v>43531</v>
      </c>
      <c r="B1221" s="158">
        <v>15348.14</v>
      </c>
      <c r="C1221"/>
      <c r="D1221" s="160"/>
    </row>
    <row r="1222" spans="1:4" x14ac:dyDescent="0.3">
      <c r="A1222" s="157">
        <v>43530</v>
      </c>
      <c r="B1222" s="158">
        <v>15340.93</v>
      </c>
      <c r="C1222"/>
      <c r="D1222" s="160"/>
    </row>
    <row r="1223" spans="1:4" x14ac:dyDescent="0.3">
      <c r="A1223" s="157">
        <v>43529</v>
      </c>
      <c r="B1223" s="158">
        <v>15249.97</v>
      </c>
      <c r="C1223"/>
      <c r="D1223" s="160"/>
    </row>
    <row r="1224" spans="1:4" x14ac:dyDescent="0.3">
      <c r="A1224" s="157">
        <v>43525</v>
      </c>
      <c r="B1224" s="158">
        <v>15077.91</v>
      </c>
      <c r="C1224"/>
      <c r="D1224" s="160"/>
    </row>
    <row r="1225" spans="1:4" x14ac:dyDescent="0.3">
      <c r="A1225" s="157">
        <v>43524</v>
      </c>
      <c r="B1225" s="158">
        <v>14979.39</v>
      </c>
      <c r="C1225"/>
      <c r="D1225" s="160"/>
    </row>
    <row r="1226" spans="1:4" x14ac:dyDescent="0.3">
      <c r="A1226" s="157">
        <v>43523</v>
      </c>
      <c r="B1226" s="158">
        <v>14993.45</v>
      </c>
      <c r="C1226"/>
      <c r="D1226" s="160"/>
    </row>
    <row r="1227" spans="1:4" x14ac:dyDescent="0.3">
      <c r="A1227" s="157">
        <v>43522</v>
      </c>
      <c r="B1227" s="158">
        <v>15033.15</v>
      </c>
      <c r="C1227"/>
      <c r="D1227" s="160"/>
    </row>
    <row r="1228" spans="1:4" x14ac:dyDescent="0.3">
      <c r="A1228" s="157">
        <v>43521</v>
      </c>
      <c r="B1228" s="158">
        <v>15095.33</v>
      </c>
      <c r="C1228"/>
      <c r="D1228" s="160"/>
    </row>
    <row r="1229" spans="1:4" x14ac:dyDescent="0.3">
      <c r="A1229" s="157">
        <v>43518</v>
      </c>
      <c r="B1229" s="158">
        <v>14972.58</v>
      </c>
      <c r="C1229"/>
      <c r="D1229" s="160"/>
    </row>
    <row r="1230" spans="1:4" x14ac:dyDescent="0.3">
      <c r="A1230" s="157">
        <v>43517</v>
      </c>
      <c r="B1230" s="158">
        <v>14970.12</v>
      </c>
      <c r="C1230"/>
      <c r="D1230" s="160"/>
    </row>
    <row r="1231" spans="1:4" x14ac:dyDescent="0.3">
      <c r="A1231" s="157">
        <v>43516</v>
      </c>
      <c r="B1231" s="158">
        <v>14891.6</v>
      </c>
      <c r="C1231"/>
      <c r="D1231" s="160"/>
    </row>
    <row r="1232" spans="1:4" x14ac:dyDescent="0.3">
      <c r="A1232" s="157">
        <v>43515</v>
      </c>
      <c r="B1232" s="158">
        <v>14709.75</v>
      </c>
      <c r="C1232"/>
      <c r="D1232" s="160"/>
    </row>
    <row r="1233" spans="1:4" x14ac:dyDescent="0.3">
      <c r="A1233" s="157">
        <v>43514</v>
      </c>
      <c r="B1233" s="158">
        <v>14760.48</v>
      </c>
      <c r="C1233"/>
      <c r="D1233" s="160"/>
    </row>
    <row r="1234" spans="1:4" x14ac:dyDescent="0.3">
      <c r="A1234" s="157">
        <v>43511</v>
      </c>
      <c r="B1234" s="158">
        <v>14876.27</v>
      </c>
      <c r="C1234"/>
      <c r="D1234" s="160"/>
    </row>
    <row r="1235" spans="1:4" x14ac:dyDescent="0.3">
      <c r="A1235" s="157">
        <v>43510</v>
      </c>
      <c r="B1235" s="158">
        <v>14906.26</v>
      </c>
      <c r="C1235"/>
      <c r="D1235" s="160"/>
    </row>
    <row r="1236" spans="1:4" x14ac:dyDescent="0.3">
      <c r="A1236" s="157">
        <v>43509</v>
      </c>
      <c r="B1236" s="158">
        <v>14970.62</v>
      </c>
      <c r="C1236"/>
      <c r="D1236" s="160"/>
    </row>
    <row r="1237" spans="1:4" x14ac:dyDescent="0.3">
      <c r="A1237" s="157">
        <v>43508</v>
      </c>
      <c r="B1237" s="158">
        <v>15023.02</v>
      </c>
      <c r="C1237"/>
      <c r="D1237" s="160"/>
    </row>
    <row r="1238" spans="1:4" x14ac:dyDescent="0.3">
      <c r="A1238" s="157">
        <v>43507</v>
      </c>
      <c r="B1238" s="158">
        <v>15100.61</v>
      </c>
      <c r="C1238"/>
      <c r="D1238" s="160"/>
    </row>
    <row r="1239" spans="1:4" x14ac:dyDescent="0.3">
      <c r="A1239" s="157">
        <v>43504</v>
      </c>
      <c r="B1239" s="158">
        <v>15173.02</v>
      </c>
      <c r="C1239"/>
      <c r="D1239" s="160"/>
    </row>
    <row r="1240" spans="1:4" x14ac:dyDescent="0.3">
      <c r="A1240" s="157">
        <v>43503</v>
      </c>
      <c r="B1240" s="158">
        <v>15347.41</v>
      </c>
      <c r="C1240"/>
      <c r="D1240" s="160"/>
    </row>
    <row r="1241" spans="1:4" x14ac:dyDescent="0.3">
      <c r="A1241" s="157">
        <v>43502</v>
      </c>
      <c r="B1241" s="158">
        <v>15337.8</v>
      </c>
      <c r="C1241"/>
      <c r="D1241" s="160"/>
    </row>
    <row r="1242" spans="1:4" x14ac:dyDescent="0.3">
      <c r="A1242" s="157">
        <v>43501</v>
      </c>
      <c r="B1242" s="158">
        <v>15155.99</v>
      </c>
      <c r="C1242"/>
      <c r="D1242" s="160"/>
    </row>
    <row r="1243" spans="1:4" x14ac:dyDescent="0.3">
      <c r="A1243" s="157">
        <v>43500</v>
      </c>
      <c r="B1243" s="158">
        <v>15125.02</v>
      </c>
      <c r="C1243"/>
      <c r="D1243" s="160"/>
    </row>
    <row r="1244" spans="1:4" x14ac:dyDescent="0.3">
      <c r="A1244" s="157">
        <v>43497</v>
      </c>
      <c r="B1244" s="158">
        <v>15099.21</v>
      </c>
      <c r="C1244"/>
      <c r="D1244" s="160"/>
    </row>
    <row r="1245" spans="1:4" x14ac:dyDescent="0.3">
      <c r="A1245" s="157">
        <v>43496</v>
      </c>
      <c r="B1245" s="158">
        <v>15012.34</v>
      </c>
      <c r="C1245"/>
      <c r="D1245" s="160"/>
    </row>
    <row r="1246" spans="1:4" x14ac:dyDescent="0.3">
      <c r="A1246" s="157">
        <v>43495</v>
      </c>
      <c r="B1246" s="158">
        <v>14764.02</v>
      </c>
      <c r="C1246"/>
      <c r="D1246" s="160"/>
    </row>
    <row r="1247" spans="1:4" x14ac:dyDescent="0.3">
      <c r="A1247" s="157">
        <v>43494</v>
      </c>
      <c r="B1247" s="158">
        <v>14764.59</v>
      </c>
      <c r="C1247"/>
      <c r="D1247" s="160"/>
    </row>
    <row r="1248" spans="1:4" x14ac:dyDescent="0.3">
      <c r="A1248" s="157">
        <v>43493</v>
      </c>
      <c r="B1248" s="158">
        <v>14777.11</v>
      </c>
      <c r="C1248"/>
      <c r="D1248" s="160"/>
    </row>
    <row r="1249" spans="1:4" x14ac:dyDescent="0.3">
      <c r="A1249" s="157">
        <v>43490</v>
      </c>
      <c r="B1249" s="158">
        <v>14942.09</v>
      </c>
      <c r="C1249"/>
      <c r="D1249" s="160"/>
    </row>
    <row r="1250" spans="1:4" x14ac:dyDescent="0.3">
      <c r="A1250" s="157">
        <v>43489</v>
      </c>
      <c r="B1250" s="158">
        <v>15038.07</v>
      </c>
      <c r="C1250"/>
      <c r="D1250" s="160"/>
    </row>
    <row r="1251" spans="1:4" x14ac:dyDescent="0.3">
      <c r="A1251" s="157">
        <v>43488</v>
      </c>
      <c r="B1251" s="158">
        <v>15007.4</v>
      </c>
      <c r="C1251"/>
      <c r="D1251" s="160"/>
    </row>
    <row r="1252" spans="1:4" x14ac:dyDescent="0.3">
      <c r="A1252" s="157">
        <v>43487</v>
      </c>
      <c r="B1252" s="158">
        <v>15133.83</v>
      </c>
      <c r="C1252"/>
      <c r="D1252" s="160"/>
    </row>
    <row r="1253" spans="1:4" x14ac:dyDescent="0.3">
      <c r="A1253" s="157">
        <v>43486</v>
      </c>
      <c r="B1253" s="158">
        <v>15188</v>
      </c>
      <c r="C1253"/>
      <c r="D1253" s="160"/>
    </row>
    <row r="1254" spans="1:4" x14ac:dyDescent="0.3">
      <c r="A1254" s="157">
        <v>43483</v>
      </c>
      <c r="B1254" s="158">
        <v>15111.95</v>
      </c>
      <c r="C1254"/>
      <c r="D1254" s="160"/>
    </row>
    <row r="1255" spans="1:4" x14ac:dyDescent="0.3">
      <c r="A1255" s="157">
        <v>43482</v>
      </c>
      <c r="B1255" s="158">
        <v>15109.54</v>
      </c>
      <c r="C1255"/>
      <c r="D1255" s="160"/>
    </row>
    <row r="1256" spans="1:4" x14ac:dyDescent="0.3">
      <c r="A1256" s="157">
        <v>43481</v>
      </c>
      <c r="B1256" s="158">
        <v>15087.41</v>
      </c>
      <c r="C1256"/>
      <c r="D1256" s="160"/>
    </row>
    <row r="1257" spans="1:4" x14ac:dyDescent="0.3">
      <c r="A1257" s="157">
        <v>43480</v>
      </c>
      <c r="B1257" s="158">
        <v>15082.59</v>
      </c>
      <c r="C1257"/>
      <c r="D1257" s="160"/>
    </row>
    <row r="1258" spans="1:4" x14ac:dyDescent="0.3">
      <c r="A1258" s="157">
        <v>43479</v>
      </c>
      <c r="B1258" s="158">
        <v>14875.92</v>
      </c>
      <c r="C1258"/>
      <c r="D1258" s="160"/>
    </row>
    <row r="1259" spans="1:4" x14ac:dyDescent="0.3">
      <c r="A1259" s="157">
        <v>43476</v>
      </c>
      <c r="B1259" s="158">
        <v>14955.33</v>
      </c>
      <c r="C1259"/>
      <c r="D1259" s="160"/>
    </row>
    <row r="1260" spans="1:4" x14ac:dyDescent="0.3">
      <c r="A1260" s="157">
        <v>43475</v>
      </c>
      <c r="B1260" s="158">
        <v>14992.23</v>
      </c>
      <c r="C1260"/>
      <c r="D1260" s="160"/>
    </row>
    <row r="1261" spans="1:4" x14ac:dyDescent="0.3">
      <c r="A1261" s="157">
        <v>43474</v>
      </c>
      <c r="B1261" s="158">
        <v>15038.74</v>
      </c>
      <c r="C1261"/>
      <c r="D1261" s="160"/>
    </row>
    <row r="1262" spans="1:4" x14ac:dyDescent="0.3">
      <c r="A1262" s="157">
        <v>43473</v>
      </c>
      <c r="B1262" s="158">
        <v>14965.34</v>
      </c>
      <c r="C1262"/>
      <c r="D1262" s="160"/>
    </row>
    <row r="1263" spans="1:4" x14ac:dyDescent="0.3">
      <c r="A1263" s="157">
        <v>43472</v>
      </c>
      <c r="B1263" s="158">
        <v>14923.27</v>
      </c>
      <c r="C1263"/>
      <c r="D1263" s="160"/>
    </row>
    <row r="1264" spans="1:4" x14ac:dyDescent="0.3">
      <c r="A1264" s="157">
        <v>43469</v>
      </c>
      <c r="B1264" s="158">
        <v>14861.69</v>
      </c>
      <c r="C1264"/>
      <c r="D1264" s="160"/>
    </row>
    <row r="1265" spans="1:4" x14ac:dyDescent="0.3">
      <c r="A1265" s="157">
        <v>43468</v>
      </c>
      <c r="B1265" s="158">
        <v>14785.38</v>
      </c>
      <c r="C1265"/>
      <c r="D1265" s="160"/>
    </row>
    <row r="1266" spans="1:4" x14ac:dyDescent="0.3">
      <c r="A1266" s="157">
        <v>43467</v>
      </c>
      <c r="B1266" s="158">
        <v>14951.96</v>
      </c>
      <c r="C1266"/>
      <c r="D1266" s="160"/>
    </row>
    <row r="1267" spans="1:4" x14ac:dyDescent="0.3">
      <c r="A1267" s="157">
        <v>43466</v>
      </c>
      <c r="B1267" s="158">
        <v>15114.9</v>
      </c>
      <c r="C1267"/>
      <c r="D1267" s="160"/>
    </row>
    <row r="1268" spans="1:4" x14ac:dyDescent="0.3">
      <c r="A1268" s="157">
        <v>43465</v>
      </c>
      <c r="B1268" s="158">
        <v>15048.98</v>
      </c>
      <c r="C1268"/>
      <c r="D1268" s="160"/>
    </row>
    <row r="1269" spans="1:4" x14ac:dyDescent="0.3">
      <c r="A1269" s="157">
        <v>43462</v>
      </c>
      <c r="B1269" s="158">
        <v>15045.34</v>
      </c>
      <c r="C1269"/>
      <c r="D1269" s="160"/>
    </row>
    <row r="1270" spans="1:4" x14ac:dyDescent="0.3">
      <c r="A1270" s="157">
        <v>43461</v>
      </c>
      <c r="B1270" s="158">
        <v>14930.18</v>
      </c>
      <c r="C1270"/>
      <c r="D1270" s="160"/>
    </row>
    <row r="1271" spans="1:4" x14ac:dyDescent="0.3">
      <c r="A1271" s="157">
        <v>43460</v>
      </c>
      <c r="B1271" s="158">
        <v>14860.97</v>
      </c>
      <c r="C1271"/>
      <c r="D1271" s="160"/>
    </row>
    <row r="1272" spans="1:4" x14ac:dyDescent="0.3">
      <c r="A1272" s="157">
        <v>43458</v>
      </c>
      <c r="B1272" s="158">
        <v>14769.13</v>
      </c>
      <c r="C1272"/>
      <c r="D1272" s="160"/>
    </row>
    <row r="1273" spans="1:4" x14ac:dyDescent="0.3">
      <c r="A1273" s="157">
        <v>43455</v>
      </c>
      <c r="B1273" s="158">
        <v>14894.42</v>
      </c>
      <c r="C1273"/>
      <c r="D1273" s="160"/>
    </row>
    <row r="1274" spans="1:4" x14ac:dyDescent="0.3">
      <c r="A1274" s="157">
        <v>43454</v>
      </c>
      <c r="B1274" s="158">
        <v>15163.14</v>
      </c>
      <c r="C1274"/>
      <c r="D1274" s="160"/>
    </row>
    <row r="1275" spans="1:4" x14ac:dyDescent="0.3">
      <c r="A1275" s="157">
        <v>43453</v>
      </c>
      <c r="B1275" s="158">
        <v>15184.78</v>
      </c>
      <c r="C1275"/>
      <c r="D1275" s="160"/>
    </row>
    <row r="1276" spans="1:4" x14ac:dyDescent="0.3">
      <c r="A1276" s="157">
        <v>43452</v>
      </c>
      <c r="B1276" s="158">
        <v>15103.63</v>
      </c>
      <c r="C1276"/>
      <c r="D1276" s="160"/>
    </row>
    <row r="1277" spans="1:4" x14ac:dyDescent="0.3">
      <c r="A1277" s="157">
        <v>43451</v>
      </c>
      <c r="B1277" s="158">
        <v>15075.46</v>
      </c>
      <c r="C1277"/>
      <c r="D1277" s="160"/>
    </row>
    <row r="1278" spans="1:4" x14ac:dyDescent="0.3">
      <c r="A1278" s="157">
        <v>43448</v>
      </c>
      <c r="B1278" s="158">
        <v>14960.64</v>
      </c>
      <c r="C1278"/>
      <c r="D1278" s="160"/>
    </row>
    <row r="1279" spans="1:4" x14ac:dyDescent="0.3">
      <c r="A1279" s="157">
        <v>43447</v>
      </c>
      <c r="B1279" s="158">
        <v>14941.4</v>
      </c>
      <c r="C1279"/>
      <c r="D1279" s="160"/>
    </row>
    <row r="1280" spans="1:4" x14ac:dyDescent="0.3">
      <c r="A1280" s="157">
        <v>43446</v>
      </c>
      <c r="B1280" s="158">
        <v>14866.71</v>
      </c>
      <c r="C1280"/>
      <c r="D1280" s="160"/>
    </row>
    <row r="1281" spans="1:4" x14ac:dyDescent="0.3">
      <c r="A1281" s="157">
        <v>43445</v>
      </c>
      <c r="B1281" s="158">
        <v>14605.79</v>
      </c>
      <c r="C1281"/>
      <c r="D1281" s="160"/>
    </row>
    <row r="1282" spans="1:4" x14ac:dyDescent="0.3">
      <c r="A1282" s="157">
        <v>43444</v>
      </c>
      <c r="B1282" s="158">
        <v>14521.73</v>
      </c>
      <c r="C1282"/>
      <c r="D1282" s="160"/>
    </row>
    <row r="1283" spans="1:4" x14ac:dyDescent="0.3">
      <c r="A1283" s="157">
        <v>43441</v>
      </c>
      <c r="B1283" s="158">
        <v>14805.93</v>
      </c>
      <c r="C1283"/>
      <c r="D1283" s="160"/>
    </row>
    <row r="1284" spans="1:4" x14ac:dyDescent="0.3">
      <c r="A1284" s="157">
        <v>43440</v>
      </c>
      <c r="B1284" s="158">
        <v>14677.79</v>
      </c>
      <c r="C1284"/>
      <c r="D1284" s="160"/>
    </row>
    <row r="1285" spans="1:4" x14ac:dyDescent="0.3">
      <c r="A1285" s="157">
        <v>43439</v>
      </c>
      <c r="B1285" s="158">
        <v>14929.43</v>
      </c>
      <c r="C1285"/>
      <c r="D1285" s="160"/>
    </row>
    <row r="1286" spans="1:4" x14ac:dyDescent="0.3">
      <c r="A1286" s="157">
        <v>43438</v>
      </c>
      <c r="B1286" s="158">
        <v>15049.32</v>
      </c>
      <c r="C1286"/>
      <c r="D1286" s="160"/>
    </row>
    <row r="1287" spans="1:4" x14ac:dyDescent="0.3">
      <c r="A1287" s="157">
        <v>43437</v>
      </c>
      <c r="B1287" s="158">
        <v>15069.07</v>
      </c>
      <c r="C1287"/>
      <c r="D1287" s="160"/>
    </row>
    <row r="1288" spans="1:4" x14ac:dyDescent="0.3">
      <c r="A1288" s="157">
        <v>43434</v>
      </c>
      <c r="B1288" s="158">
        <v>15059.37</v>
      </c>
      <c r="C1288"/>
      <c r="D1288" s="160"/>
    </row>
    <row r="1289" spans="1:4" x14ac:dyDescent="0.3">
      <c r="A1289" s="157">
        <v>43433</v>
      </c>
      <c r="B1289" s="158">
        <v>15034.36</v>
      </c>
      <c r="C1289"/>
      <c r="D1289" s="160"/>
    </row>
    <row r="1290" spans="1:4" x14ac:dyDescent="0.3">
      <c r="A1290" s="157">
        <v>43432</v>
      </c>
      <c r="B1290" s="158">
        <v>14854.61</v>
      </c>
      <c r="C1290"/>
      <c r="D1290" s="160"/>
    </row>
    <row r="1291" spans="1:4" x14ac:dyDescent="0.3">
      <c r="A1291" s="157">
        <v>43431</v>
      </c>
      <c r="B1291" s="158">
        <v>14794.7</v>
      </c>
      <c r="C1291"/>
      <c r="D1291" s="160"/>
    </row>
    <row r="1292" spans="1:4" x14ac:dyDescent="0.3">
      <c r="A1292" s="157">
        <v>43430</v>
      </c>
      <c r="B1292" s="158">
        <v>14715.81</v>
      </c>
      <c r="C1292"/>
      <c r="D1292" s="160"/>
    </row>
    <row r="1293" spans="1:4" x14ac:dyDescent="0.3">
      <c r="A1293" s="157">
        <v>43426</v>
      </c>
      <c r="B1293" s="158">
        <v>14574.82</v>
      </c>
      <c r="C1293"/>
      <c r="D1293" s="160"/>
    </row>
    <row r="1294" spans="1:4" x14ac:dyDescent="0.3">
      <c r="A1294" s="157">
        <v>43425</v>
      </c>
      <c r="B1294" s="158">
        <v>14676.29</v>
      </c>
      <c r="C1294"/>
      <c r="D1294" s="160"/>
    </row>
    <row r="1295" spans="1:4" x14ac:dyDescent="0.3">
      <c r="A1295" s="157">
        <v>43424</v>
      </c>
      <c r="B1295" s="158">
        <v>14754.03</v>
      </c>
      <c r="C1295"/>
      <c r="D1295" s="160"/>
    </row>
    <row r="1296" spans="1:4" x14ac:dyDescent="0.3">
      <c r="A1296" s="157">
        <v>43423</v>
      </c>
      <c r="B1296" s="158">
        <v>14902.44</v>
      </c>
      <c r="C1296"/>
      <c r="D1296" s="160"/>
    </row>
    <row r="1297" spans="1:4" x14ac:dyDescent="0.3">
      <c r="A1297" s="157">
        <v>43420</v>
      </c>
      <c r="B1297" s="158">
        <v>14790.05</v>
      </c>
      <c r="C1297"/>
      <c r="D1297" s="160"/>
    </row>
    <row r="1298" spans="1:4" x14ac:dyDescent="0.3">
      <c r="A1298" s="157">
        <v>43419</v>
      </c>
      <c r="B1298" s="158">
        <v>14699.33</v>
      </c>
      <c r="C1298"/>
      <c r="D1298" s="160"/>
    </row>
    <row r="1299" spans="1:4" x14ac:dyDescent="0.3">
      <c r="A1299" s="157">
        <v>43418</v>
      </c>
      <c r="B1299" s="158">
        <v>14643.42</v>
      </c>
      <c r="C1299"/>
      <c r="D1299" s="160"/>
    </row>
    <row r="1300" spans="1:4" x14ac:dyDescent="0.3">
      <c r="A1300" s="157">
        <v>43417</v>
      </c>
      <c r="B1300" s="158">
        <v>14651.98</v>
      </c>
      <c r="C1300"/>
      <c r="D1300" s="160"/>
    </row>
    <row r="1301" spans="1:4" x14ac:dyDescent="0.3">
      <c r="A1301" s="157">
        <v>43416</v>
      </c>
      <c r="B1301" s="158">
        <v>14513.12</v>
      </c>
      <c r="C1301"/>
      <c r="D1301" s="160"/>
    </row>
    <row r="1302" spans="1:4" x14ac:dyDescent="0.3">
      <c r="A1302" s="157">
        <v>43413</v>
      </c>
      <c r="B1302" s="158">
        <v>14655.69</v>
      </c>
      <c r="C1302"/>
      <c r="D1302" s="160"/>
    </row>
    <row r="1303" spans="1:4" x14ac:dyDescent="0.3">
      <c r="A1303" s="157">
        <v>43411</v>
      </c>
      <c r="B1303" s="158">
        <v>14673.98</v>
      </c>
      <c r="C1303"/>
      <c r="D1303" s="160"/>
    </row>
    <row r="1304" spans="1:4" x14ac:dyDescent="0.3">
      <c r="A1304" s="157">
        <v>43410</v>
      </c>
      <c r="B1304" s="158">
        <v>14579.28</v>
      </c>
      <c r="C1304"/>
      <c r="D1304" s="160"/>
    </row>
    <row r="1305" spans="1:4" x14ac:dyDescent="0.3">
      <c r="A1305" s="157">
        <v>43409</v>
      </c>
      <c r="B1305" s="158">
        <v>14570.98</v>
      </c>
      <c r="C1305"/>
      <c r="D1305" s="160"/>
    </row>
    <row r="1306" spans="1:4" x14ac:dyDescent="0.3">
      <c r="A1306" s="157">
        <v>43406</v>
      </c>
      <c r="B1306" s="158">
        <v>14609.96</v>
      </c>
      <c r="C1306"/>
      <c r="D1306" s="160"/>
    </row>
    <row r="1307" spans="1:4" x14ac:dyDescent="0.3">
      <c r="A1307" s="157">
        <v>43405</v>
      </c>
      <c r="B1307" s="158">
        <v>14371.1</v>
      </c>
      <c r="C1307"/>
      <c r="D1307" s="160"/>
    </row>
    <row r="1308" spans="1:4" x14ac:dyDescent="0.3">
      <c r="A1308" s="157">
        <v>43404</v>
      </c>
      <c r="B1308" s="158">
        <v>14377.38</v>
      </c>
      <c r="C1308"/>
      <c r="D1308" s="160"/>
    </row>
    <row r="1309" spans="1:4" x14ac:dyDescent="0.3">
      <c r="A1309" s="157">
        <v>43403</v>
      </c>
      <c r="B1309" s="158">
        <v>14116.91</v>
      </c>
      <c r="C1309"/>
      <c r="D1309" s="160"/>
    </row>
    <row r="1310" spans="1:4" x14ac:dyDescent="0.3">
      <c r="A1310" s="157">
        <v>43402</v>
      </c>
      <c r="B1310" s="158">
        <v>14189.11</v>
      </c>
      <c r="C1310"/>
      <c r="D1310" s="160"/>
    </row>
    <row r="1311" spans="1:4" x14ac:dyDescent="0.3">
      <c r="A1311" s="157">
        <v>43399</v>
      </c>
      <c r="B1311" s="158">
        <v>13882.95</v>
      </c>
      <c r="C1311"/>
      <c r="D1311" s="160"/>
    </row>
    <row r="1312" spans="1:4" x14ac:dyDescent="0.3">
      <c r="A1312" s="157">
        <v>43398</v>
      </c>
      <c r="B1312" s="158">
        <v>14014.33</v>
      </c>
      <c r="C1312"/>
      <c r="D1312" s="160"/>
    </row>
    <row r="1313" spans="1:4" x14ac:dyDescent="0.3">
      <c r="A1313" s="157">
        <v>43397</v>
      </c>
      <c r="B1313" s="158">
        <v>14139.75</v>
      </c>
      <c r="C1313"/>
      <c r="D1313" s="160"/>
    </row>
    <row r="1314" spans="1:4" x14ac:dyDescent="0.3">
      <c r="A1314" s="157">
        <v>43396</v>
      </c>
      <c r="B1314" s="158">
        <v>14031.96</v>
      </c>
      <c r="C1314"/>
      <c r="D1314" s="160"/>
    </row>
    <row r="1315" spans="1:4" x14ac:dyDescent="0.3">
      <c r="A1315" s="157">
        <v>43395</v>
      </c>
      <c r="B1315" s="158">
        <v>14166.64</v>
      </c>
      <c r="C1315"/>
      <c r="D1315" s="160"/>
    </row>
    <row r="1316" spans="1:4" x14ac:dyDescent="0.3">
      <c r="A1316" s="157">
        <v>43392</v>
      </c>
      <c r="B1316" s="158">
        <v>14247.22</v>
      </c>
      <c r="C1316"/>
      <c r="D1316" s="160"/>
    </row>
    <row r="1317" spans="1:4" x14ac:dyDescent="0.3">
      <c r="A1317" s="157">
        <v>43390</v>
      </c>
      <c r="B1317" s="158">
        <v>14453.94</v>
      </c>
      <c r="C1317"/>
      <c r="D1317" s="160"/>
    </row>
    <row r="1318" spans="1:4" x14ac:dyDescent="0.3">
      <c r="A1318" s="157">
        <v>43389</v>
      </c>
      <c r="B1318" s="158">
        <v>14636.1</v>
      </c>
      <c r="C1318"/>
      <c r="D1318" s="160"/>
    </row>
    <row r="1319" spans="1:4" x14ac:dyDescent="0.3">
      <c r="A1319" s="157">
        <v>43388</v>
      </c>
      <c r="B1319" s="158">
        <v>14536.17</v>
      </c>
      <c r="C1319"/>
      <c r="D1319" s="160"/>
    </row>
    <row r="1320" spans="1:4" x14ac:dyDescent="0.3">
      <c r="A1320" s="157">
        <v>43385</v>
      </c>
      <c r="B1320" s="158">
        <v>14480.86</v>
      </c>
      <c r="C1320"/>
      <c r="D1320" s="160"/>
    </row>
    <row r="1321" spans="1:4" x14ac:dyDescent="0.3">
      <c r="A1321" s="157">
        <v>43384</v>
      </c>
      <c r="B1321" s="158">
        <v>14152</v>
      </c>
      <c r="C1321"/>
      <c r="D1321" s="160"/>
    </row>
    <row r="1322" spans="1:4" x14ac:dyDescent="0.3">
      <c r="A1322" s="157">
        <v>43383</v>
      </c>
      <c r="B1322" s="158">
        <v>14463.71</v>
      </c>
      <c r="C1322"/>
      <c r="D1322" s="160"/>
    </row>
    <row r="1323" spans="1:4" x14ac:dyDescent="0.3">
      <c r="A1323" s="157">
        <v>43382</v>
      </c>
      <c r="B1323" s="158">
        <v>14243.79</v>
      </c>
      <c r="C1323"/>
      <c r="D1323" s="160"/>
    </row>
    <row r="1324" spans="1:4" x14ac:dyDescent="0.3">
      <c r="A1324" s="157">
        <v>43381</v>
      </c>
      <c r="B1324" s="158">
        <v>14308.79</v>
      </c>
      <c r="C1324"/>
      <c r="D1324" s="160"/>
    </row>
    <row r="1325" spans="1:4" x14ac:dyDescent="0.3">
      <c r="A1325" s="157">
        <v>43378</v>
      </c>
      <c r="B1325" s="158">
        <v>14265.08</v>
      </c>
      <c r="C1325"/>
      <c r="D1325" s="160"/>
    </row>
    <row r="1326" spans="1:4" x14ac:dyDescent="0.3">
      <c r="A1326" s="157">
        <v>43377</v>
      </c>
      <c r="B1326" s="158">
        <v>14656.09</v>
      </c>
      <c r="C1326"/>
      <c r="D1326" s="160"/>
    </row>
    <row r="1327" spans="1:4" x14ac:dyDescent="0.3">
      <c r="A1327" s="157">
        <v>43376</v>
      </c>
      <c r="B1327" s="158">
        <v>15014.23</v>
      </c>
      <c r="C1327"/>
      <c r="D1327" s="160"/>
    </row>
    <row r="1328" spans="1:4" x14ac:dyDescent="0.3">
      <c r="A1328" s="157">
        <v>43374</v>
      </c>
      <c r="B1328" s="158">
        <v>15221.75</v>
      </c>
      <c r="C1328"/>
      <c r="D1328" s="160"/>
    </row>
    <row r="1329" spans="1:4" x14ac:dyDescent="0.3">
      <c r="A1329" s="157">
        <v>43371</v>
      </c>
      <c r="B1329" s="158">
        <v>15114.08</v>
      </c>
      <c r="C1329"/>
      <c r="D1329" s="160"/>
    </row>
    <row r="1330" spans="1:4" x14ac:dyDescent="0.3">
      <c r="A1330" s="157">
        <v>43370</v>
      </c>
      <c r="B1330" s="158">
        <v>15179.24</v>
      </c>
      <c r="C1330"/>
      <c r="D1330" s="160"/>
    </row>
    <row r="1331" spans="1:4" x14ac:dyDescent="0.3">
      <c r="A1331" s="157">
        <v>43369</v>
      </c>
      <c r="B1331" s="158">
        <v>15284.67</v>
      </c>
      <c r="C1331"/>
      <c r="D1331" s="160"/>
    </row>
    <row r="1332" spans="1:4" x14ac:dyDescent="0.3">
      <c r="A1332" s="157">
        <v>43368</v>
      </c>
      <c r="B1332" s="158">
        <v>15303.55</v>
      </c>
      <c r="C1332"/>
      <c r="D1332" s="160"/>
    </row>
    <row r="1333" spans="1:4" x14ac:dyDescent="0.3">
      <c r="A1333" s="157">
        <v>43367</v>
      </c>
      <c r="B1333" s="158">
        <v>15165.18</v>
      </c>
      <c r="C1333"/>
      <c r="D1333" s="160"/>
    </row>
    <row r="1334" spans="1:4" x14ac:dyDescent="0.3">
      <c r="A1334" s="157">
        <v>43364</v>
      </c>
      <c r="B1334" s="158">
        <v>15408.16</v>
      </c>
      <c r="C1334"/>
      <c r="D1334" s="160"/>
    </row>
    <row r="1335" spans="1:4" x14ac:dyDescent="0.3">
      <c r="A1335" s="157">
        <v>43362</v>
      </c>
      <c r="B1335" s="158">
        <v>15534.28</v>
      </c>
      <c r="C1335"/>
      <c r="D1335" s="160"/>
    </row>
    <row r="1336" spans="1:4" x14ac:dyDescent="0.3">
      <c r="A1336" s="157">
        <v>43361</v>
      </c>
      <c r="B1336" s="158">
        <v>15594.57</v>
      </c>
      <c r="C1336"/>
      <c r="D1336" s="160"/>
    </row>
    <row r="1337" spans="1:4" x14ac:dyDescent="0.3">
      <c r="A1337" s="157">
        <v>43360</v>
      </c>
      <c r="B1337" s="158">
        <v>15731.26</v>
      </c>
      <c r="C1337"/>
      <c r="D1337" s="160"/>
    </row>
    <row r="1338" spans="1:4" x14ac:dyDescent="0.3">
      <c r="A1338" s="157">
        <v>43357</v>
      </c>
      <c r="B1338" s="158">
        <v>15920.48</v>
      </c>
      <c r="C1338"/>
      <c r="D1338" s="160"/>
    </row>
    <row r="1339" spans="1:4" x14ac:dyDescent="0.3">
      <c r="A1339" s="157">
        <v>43355</v>
      </c>
      <c r="B1339" s="158">
        <v>15719.62</v>
      </c>
      <c r="C1339"/>
      <c r="D1339" s="160"/>
    </row>
    <row r="1340" spans="1:4" x14ac:dyDescent="0.3">
      <c r="A1340" s="157">
        <v>43354</v>
      </c>
      <c r="B1340" s="158">
        <v>15605.11</v>
      </c>
      <c r="C1340"/>
      <c r="D1340" s="160"/>
    </row>
    <row r="1341" spans="1:4" x14ac:dyDescent="0.3">
      <c r="A1341" s="157">
        <v>43353</v>
      </c>
      <c r="B1341" s="158">
        <v>15813.26</v>
      </c>
      <c r="C1341"/>
      <c r="D1341" s="160"/>
    </row>
    <row r="1342" spans="1:4" x14ac:dyDescent="0.3">
      <c r="A1342" s="157">
        <v>43350</v>
      </c>
      <c r="B1342" s="158">
        <v>16019.84</v>
      </c>
      <c r="C1342"/>
      <c r="D1342" s="160"/>
    </row>
    <row r="1343" spans="1:4" x14ac:dyDescent="0.3">
      <c r="A1343" s="157">
        <v>43349</v>
      </c>
      <c r="B1343" s="158">
        <v>15947.67</v>
      </c>
      <c r="C1343"/>
      <c r="D1343" s="160"/>
    </row>
    <row r="1344" spans="1:4" x14ac:dyDescent="0.3">
      <c r="A1344" s="157">
        <v>43348</v>
      </c>
      <c r="B1344" s="158">
        <v>15862.15</v>
      </c>
      <c r="C1344"/>
      <c r="D1344" s="160"/>
    </row>
    <row r="1345" spans="1:4" x14ac:dyDescent="0.3">
      <c r="A1345" s="157">
        <v>43347</v>
      </c>
      <c r="B1345" s="158">
        <v>15922.09</v>
      </c>
      <c r="C1345"/>
      <c r="D1345" s="160"/>
    </row>
    <row r="1346" spans="1:4" x14ac:dyDescent="0.3">
      <c r="A1346" s="157">
        <v>43346</v>
      </c>
      <c r="B1346" s="158">
        <v>16007.84</v>
      </c>
      <c r="C1346"/>
      <c r="D1346" s="160"/>
    </row>
    <row r="1347" spans="1:4" x14ac:dyDescent="0.3">
      <c r="A1347" s="157">
        <v>43343</v>
      </c>
      <c r="B1347" s="158">
        <v>16143.51</v>
      </c>
      <c r="C1347"/>
      <c r="D1347" s="160"/>
    </row>
    <row r="1348" spans="1:4" x14ac:dyDescent="0.3">
      <c r="A1348" s="157">
        <v>43342</v>
      </c>
      <c r="B1348" s="158">
        <v>16135.61</v>
      </c>
      <c r="C1348"/>
      <c r="D1348" s="160"/>
    </row>
    <row r="1349" spans="1:4" x14ac:dyDescent="0.3">
      <c r="A1349" s="157">
        <v>43341</v>
      </c>
      <c r="B1349" s="158">
        <v>16156.02</v>
      </c>
      <c r="C1349"/>
      <c r="D1349" s="160"/>
    </row>
    <row r="1350" spans="1:4" x14ac:dyDescent="0.3">
      <c r="A1350" s="157">
        <v>43340</v>
      </c>
      <c r="B1350" s="158">
        <v>16220.45</v>
      </c>
      <c r="C1350"/>
      <c r="D1350" s="160"/>
    </row>
    <row r="1351" spans="1:4" x14ac:dyDescent="0.3">
      <c r="A1351" s="157">
        <v>43339</v>
      </c>
      <c r="B1351" s="158">
        <v>16156.09</v>
      </c>
      <c r="C1351"/>
      <c r="D1351" s="160"/>
    </row>
    <row r="1352" spans="1:4" x14ac:dyDescent="0.3">
      <c r="A1352" s="157">
        <v>43336</v>
      </c>
      <c r="B1352" s="158">
        <v>15969.8</v>
      </c>
      <c r="C1352"/>
      <c r="D1352" s="160"/>
    </row>
    <row r="1353" spans="1:4" x14ac:dyDescent="0.3">
      <c r="A1353" s="157">
        <v>43335</v>
      </c>
      <c r="B1353" s="158">
        <v>16001.85</v>
      </c>
      <c r="C1353"/>
      <c r="D1353" s="160"/>
    </row>
    <row r="1354" spans="1:4" x14ac:dyDescent="0.3">
      <c r="A1354" s="157">
        <v>43333</v>
      </c>
      <c r="B1354" s="158">
        <v>15985.48</v>
      </c>
      <c r="C1354"/>
      <c r="D1354" s="160"/>
    </row>
    <row r="1355" spans="1:4" x14ac:dyDescent="0.3">
      <c r="A1355" s="157">
        <v>43332</v>
      </c>
      <c r="B1355" s="158">
        <v>15959.04</v>
      </c>
      <c r="C1355"/>
      <c r="D1355" s="160"/>
    </row>
    <row r="1356" spans="1:4" x14ac:dyDescent="0.3">
      <c r="A1356" s="157">
        <v>43329</v>
      </c>
      <c r="B1356" s="158">
        <v>15845.64</v>
      </c>
      <c r="C1356"/>
      <c r="D1356" s="160"/>
    </row>
    <row r="1357" spans="1:4" x14ac:dyDescent="0.3">
      <c r="A1357" s="157">
        <v>43328</v>
      </c>
      <c r="B1357" s="158">
        <v>15727.25</v>
      </c>
      <c r="C1357"/>
      <c r="D1357" s="160"/>
    </row>
    <row r="1358" spans="1:4" x14ac:dyDescent="0.3">
      <c r="A1358" s="157">
        <v>43326</v>
      </c>
      <c r="B1358" s="158">
        <v>15796.36</v>
      </c>
      <c r="C1358"/>
      <c r="D1358" s="160"/>
    </row>
    <row r="1359" spans="1:4" x14ac:dyDescent="0.3">
      <c r="A1359" s="157">
        <v>43325</v>
      </c>
      <c r="B1359" s="158">
        <v>15676.23</v>
      </c>
      <c r="C1359"/>
      <c r="D1359" s="160"/>
    </row>
    <row r="1360" spans="1:4" x14ac:dyDescent="0.3">
      <c r="A1360" s="157">
        <v>43322</v>
      </c>
      <c r="B1360" s="158">
        <v>15776.32</v>
      </c>
      <c r="C1360"/>
      <c r="D1360" s="160"/>
    </row>
    <row r="1361" spans="1:4" x14ac:dyDescent="0.3">
      <c r="A1361" s="157">
        <v>43321</v>
      </c>
      <c r="B1361" s="158">
        <v>15833.23</v>
      </c>
      <c r="C1361"/>
      <c r="D1361" s="160"/>
    </row>
    <row r="1362" spans="1:4" x14ac:dyDescent="0.3">
      <c r="A1362" s="157">
        <v>43320</v>
      </c>
      <c r="B1362" s="158">
        <v>15803.64</v>
      </c>
      <c r="C1362"/>
      <c r="D1362" s="160"/>
    </row>
    <row r="1363" spans="1:4" x14ac:dyDescent="0.3">
      <c r="A1363" s="157">
        <v>43319</v>
      </c>
      <c r="B1363" s="158">
        <v>15720.05</v>
      </c>
      <c r="C1363"/>
      <c r="D1363" s="160"/>
    </row>
    <row r="1364" spans="1:4" x14ac:dyDescent="0.3">
      <c r="A1364" s="157">
        <v>43318</v>
      </c>
      <c r="B1364" s="158">
        <v>15716.78</v>
      </c>
      <c r="C1364"/>
      <c r="D1364" s="160"/>
    </row>
    <row r="1365" spans="1:4" x14ac:dyDescent="0.3">
      <c r="A1365" s="157">
        <v>43315</v>
      </c>
      <c r="B1365" s="158">
        <v>15680.51</v>
      </c>
      <c r="C1365"/>
      <c r="D1365" s="160"/>
    </row>
    <row r="1366" spans="1:4" x14ac:dyDescent="0.3">
      <c r="A1366" s="157">
        <v>43314</v>
      </c>
      <c r="B1366" s="158">
        <v>15520.25</v>
      </c>
      <c r="C1366"/>
      <c r="D1366" s="160"/>
    </row>
    <row r="1367" spans="1:4" x14ac:dyDescent="0.3">
      <c r="A1367" s="157">
        <v>43313</v>
      </c>
      <c r="B1367" s="158">
        <v>15658.27</v>
      </c>
      <c r="C1367"/>
      <c r="D1367" s="160"/>
    </row>
    <row r="1368" spans="1:4" x14ac:dyDescent="0.3">
      <c r="A1368" s="157">
        <v>43312</v>
      </c>
      <c r="B1368" s="158">
        <v>15672.47</v>
      </c>
      <c r="C1368"/>
      <c r="D1368" s="160"/>
    </row>
    <row r="1369" spans="1:4" x14ac:dyDescent="0.3">
      <c r="A1369" s="157">
        <v>43311</v>
      </c>
      <c r="B1369" s="158">
        <v>15621.47</v>
      </c>
      <c r="C1369"/>
      <c r="D1369" s="160"/>
    </row>
    <row r="1370" spans="1:4" x14ac:dyDescent="0.3">
      <c r="A1370" s="157">
        <v>43308</v>
      </c>
      <c r="B1370" s="158">
        <v>15564.19</v>
      </c>
      <c r="C1370"/>
      <c r="D1370" s="160"/>
    </row>
    <row r="1371" spans="1:4" x14ac:dyDescent="0.3">
      <c r="A1371" s="157">
        <v>43307</v>
      </c>
      <c r="B1371" s="158">
        <v>15410.93</v>
      </c>
      <c r="C1371"/>
      <c r="D1371" s="160"/>
    </row>
    <row r="1372" spans="1:4" x14ac:dyDescent="0.3">
      <c r="A1372" s="157">
        <v>43306</v>
      </c>
      <c r="B1372" s="158">
        <v>15358.72</v>
      </c>
      <c r="C1372"/>
      <c r="D1372" s="160"/>
    </row>
    <row r="1373" spans="1:4" x14ac:dyDescent="0.3">
      <c r="A1373" s="157">
        <v>43305</v>
      </c>
      <c r="B1373" s="158">
        <v>15361.88</v>
      </c>
      <c r="C1373"/>
      <c r="D1373" s="160"/>
    </row>
    <row r="1374" spans="1:4" x14ac:dyDescent="0.3">
      <c r="A1374" s="157">
        <v>43304</v>
      </c>
      <c r="B1374" s="158">
        <v>15293.5</v>
      </c>
      <c r="C1374"/>
      <c r="D1374" s="160"/>
    </row>
    <row r="1375" spans="1:4" x14ac:dyDescent="0.3">
      <c r="A1375" s="157">
        <v>43301</v>
      </c>
      <c r="B1375" s="158">
        <v>15190.13</v>
      </c>
      <c r="C1375"/>
      <c r="D1375" s="160"/>
    </row>
    <row r="1376" spans="1:4" x14ac:dyDescent="0.3">
      <c r="A1376" s="157">
        <v>43300</v>
      </c>
      <c r="B1376" s="158">
        <v>15116.83</v>
      </c>
      <c r="C1376"/>
      <c r="D1376" s="160"/>
    </row>
    <row r="1377" spans="1:4" x14ac:dyDescent="0.3">
      <c r="A1377" s="157">
        <v>43299</v>
      </c>
      <c r="B1377" s="158">
        <v>15135.57</v>
      </c>
      <c r="C1377"/>
      <c r="D1377" s="160"/>
    </row>
    <row r="1378" spans="1:4" x14ac:dyDescent="0.3">
      <c r="A1378" s="157">
        <v>43298</v>
      </c>
      <c r="B1378" s="158">
        <v>15172.31</v>
      </c>
      <c r="C1378"/>
      <c r="D1378" s="160"/>
    </row>
    <row r="1379" spans="1:4" x14ac:dyDescent="0.3">
      <c r="A1379" s="157">
        <v>43297</v>
      </c>
      <c r="B1379" s="158">
        <v>15072.66</v>
      </c>
      <c r="C1379"/>
      <c r="D1379" s="160"/>
    </row>
    <row r="1380" spans="1:4" x14ac:dyDescent="0.3">
      <c r="A1380" s="157">
        <v>43294</v>
      </c>
      <c r="B1380" s="158">
        <v>15184.88</v>
      </c>
      <c r="C1380"/>
      <c r="D1380" s="160"/>
    </row>
    <row r="1381" spans="1:4" x14ac:dyDescent="0.3">
      <c r="A1381" s="157">
        <v>43293</v>
      </c>
      <c r="B1381" s="158">
        <v>15190.82</v>
      </c>
      <c r="C1381"/>
      <c r="D1381" s="160"/>
    </row>
    <row r="1382" spans="1:4" x14ac:dyDescent="0.3">
      <c r="A1382" s="157">
        <v>43292</v>
      </c>
      <c r="B1382" s="158">
        <v>15085.15</v>
      </c>
      <c r="C1382"/>
      <c r="D1382" s="160"/>
    </row>
    <row r="1383" spans="1:4" x14ac:dyDescent="0.3">
      <c r="A1383" s="157">
        <v>43291</v>
      </c>
      <c r="B1383" s="158">
        <v>15081.6</v>
      </c>
      <c r="C1383"/>
      <c r="D1383" s="160"/>
    </row>
    <row r="1384" spans="1:4" x14ac:dyDescent="0.3">
      <c r="A1384" s="157">
        <v>43290</v>
      </c>
      <c r="B1384" s="158">
        <v>14951.2</v>
      </c>
      <c r="C1384"/>
      <c r="D1384" s="160"/>
    </row>
    <row r="1385" spans="1:4" x14ac:dyDescent="0.3">
      <c r="A1385" s="157">
        <v>43287</v>
      </c>
      <c r="B1385" s="158">
        <v>14840.13</v>
      </c>
      <c r="C1385"/>
      <c r="D1385" s="160"/>
    </row>
    <row r="1386" spans="1:4" x14ac:dyDescent="0.3">
      <c r="A1386" s="157">
        <v>43286</v>
      </c>
      <c r="B1386" s="158">
        <v>14808.54</v>
      </c>
      <c r="C1386"/>
      <c r="D1386" s="160"/>
    </row>
    <row r="1387" spans="1:4" x14ac:dyDescent="0.3">
      <c r="A1387" s="157">
        <v>43285</v>
      </c>
      <c r="B1387" s="158">
        <v>14830.5</v>
      </c>
      <c r="C1387"/>
      <c r="D1387" s="160"/>
    </row>
    <row r="1388" spans="1:4" x14ac:dyDescent="0.3">
      <c r="A1388" s="157">
        <v>43284</v>
      </c>
      <c r="B1388" s="158">
        <v>14734.11</v>
      </c>
      <c r="C1388"/>
      <c r="D1388" s="160"/>
    </row>
    <row r="1389" spans="1:4" x14ac:dyDescent="0.3">
      <c r="A1389" s="157">
        <v>43283</v>
      </c>
      <c r="B1389" s="158">
        <v>14675.42</v>
      </c>
      <c r="C1389"/>
      <c r="D1389" s="160"/>
    </row>
    <row r="1390" spans="1:4" x14ac:dyDescent="0.3">
      <c r="A1390" s="157">
        <v>43280</v>
      </c>
      <c r="B1390" s="158">
        <v>14753.91</v>
      </c>
      <c r="C1390"/>
      <c r="D1390" s="160"/>
    </row>
    <row r="1391" spans="1:4" x14ac:dyDescent="0.3">
      <c r="A1391" s="157">
        <v>43279</v>
      </c>
      <c r="B1391" s="158">
        <v>14581.53</v>
      </c>
      <c r="C1391"/>
      <c r="D1391" s="160"/>
    </row>
    <row r="1392" spans="1:4" x14ac:dyDescent="0.3">
      <c r="A1392" s="157">
        <v>43278</v>
      </c>
      <c r="B1392" s="158">
        <v>14694.16</v>
      </c>
      <c r="C1392"/>
      <c r="D1392" s="160"/>
    </row>
    <row r="1393" spans="1:4" x14ac:dyDescent="0.3">
      <c r="A1393" s="157">
        <v>43277</v>
      </c>
      <c r="B1393" s="158">
        <v>14821.45</v>
      </c>
      <c r="C1393"/>
      <c r="D1393" s="160"/>
    </row>
    <row r="1394" spans="1:4" x14ac:dyDescent="0.3">
      <c r="A1394" s="157">
        <v>43276</v>
      </c>
      <c r="B1394" s="158">
        <v>14812.28</v>
      </c>
      <c r="C1394"/>
      <c r="D1394" s="160"/>
    </row>
    <row r="1395" spans="1:4" x14ac:dyDescent="0.3">
      <c r="A1395" s="157">
        <v>43273</v>
      </c>
      <c r="B1395" s="158">
        <v>14894.02</v>
      </c>
      <c r="C1395"/>
      <c r="D1395" s="160"/>
    </row>
    <row r="1396" spans="1:4" x14ac:dyDescent="0.3">
      <c r="A1396" s="157">
        <v>43272</v>
      </c>
      <c r="B1396" s="158">
        <v>14782.87</v>
      </c>
      <c r="C1396"/>
      <c r="D1396" s="160"/>
    </row>
    <row r="1397" spans="1:4" x14ac:dyDescent="0.3">
      <c r="A1397" s="157">
        <v>43271</v>
      </c>
      <c r="B1397" s="158">
        <v>14822.46</v>
      </c>
      <c r="C1397"/>
      <c r="D1397" s="160"/>
    </row>
    <row r="1398" spans="1:4" x14ac:dyDescent="0.3">
      <c r="A1398" s="157">
        <v>43270</v>
      </c>
      <c r="B1398" s="158">
        <v>14737.7</v>
      </c>
      <c r="C1398"/>
      <c r="D1398" s="160"/>
    </row>
    <row r="1399" spans="1:4" x14ac:dyDescent="0.3">
      <c r="A1399" s="157">
        <v>43269</v>
      </c>
      <c r="B1399" s="158">
        <v>14860.73</v>
      </c>
      <c r="C1399"/>
      <c r="D1399" s="160"/>
    </row>
    <row r="1400" spans="1:4" x14ac:dyDescent="0.3">
      <c r="A1400" s="157">
        <v>43266</v>
      </c>
      <c r="B1400" s="158">
        <v>14885.3</v>
      </c>
      <c r="C1400"/>
      <c r="D1400" s="160"/>
    </row>
    <row r="1401" spans="1:4" x14ac:dyDescent="0.3">
      <c r="A1401" s="157">
        <v>43265</v>
      </c>
      <c r="B1401" s="158">
        <v>14871.97</v>
      </c>
      <c r="C1401"/>
      <c r="D1401" s="160"/>
    </row>
    <row r="1402" spans="1:4" x14ac:dyDescent="0.3">
      <c r="A1402" s="157">
        <v>43264</v>
      </c>
      <c r="B1402" s="158">
        <v>14917.68</v>
      </c>
      <c r="C1402"/>
      <c r="D1402" s="160"/>
    </row>
    <row r="1403" spans="1:4" x14ac:dyDescent="0.3">
      <c r="A1403" s="157">
        <v>43263</v>
      </c>
      <c r="B1403" s="158">
        <v>14898.66</v>
      </c>
      <c r="C1403"/>
      <c r="D1403" s="160"/>
    </row>
    <row r="1404" spans="1:4" x14ac:dyDescent="0.3">
      <c r="A1404" s="157">
        <v>43262</v>
      </c>
      <c r="B1404" s="158">
        <v>14821.8</v>
      </c>
      <c r="C1404"/>
      <c r="D1404" s="160"/>
    </row>
    <row r="1405" spans="1:4" x14ac:dyDescent="0.3">
      <c r="A1405" s="157">
        <v>43259</v>
      </c>
      <c r="B1405" s="158">
        <v>14795.31</v>
      </c>
      <c r="C1405"/>
      <c r="D1405" s="160"/>
    </row>
    <row r="1406" spans="1:4" x14ac:dyDescent="0.3">
      <c r="A1406" s="157">
        <v>43258</v>
      </c>
      <c r="B1406" s="158">
        <v>14796.24</v>
      </c>
      <c r="C1406"/>
      <c r="D1406" s="160"/>
    </row>
    <row r="1407" spans="1:4" x14ac:dyDescent="0.3">
      <c r="A1407" s="157">
        <v>43257</v>
      </c>
      <c r="B1407" s="158">
        <v>14681.25</v>
      </c>
      <c r="C1407"/>
      <c r="D1407" s="160"/>
    </row>
    <row r="1408" spans="1:4" x14ac:dyDescent="0.3">
      <c r="A1408" s="157">
        <v>43256</v>
      </c>
      <c r="B1408" s="158">
        <v>14555.52</v>
      </c>
      <c r="C1408"/>
      <c r="D1408" s="160"/>
    </row>
    <row r="1409" spans="1:4" x14ac:dyDescent="0.3">
      <c r="A1409" s="157">
        <v>43255</v>
      </c>
      <c r="B1409" s="158">
        <v>14604.11</v>
      </c>
      <c r="C1409"/>
      <c r="D1409" s="160"/>
    </row>
    <row r="1410" spans="1:4" x14ac:dyDescent="0.3">
      <c r="A1410" s="157">
        <v>43252</v>
      </c>
      <c r="B1410" s="158">
        <v>14695.4</v>
      </c>
      <c r="C1410"/>
      <c r="D1410" s="160"/>
    </row>
    <row r="1411" spans="1:4" x14ac:dyDescent="0.3">
      <c r="A1411" s="157">
        <v>43251</v>
      </c>
      <c r="B1411" s="158">
        <v>14750.26</v>
      </c>
      <c r="C1411"/>
      <c r="D1411" s="160"/>
    </row>
    <row r="1412" spans="1:4" x14ac:dyDescent="0.3">
      <c r="A1412" s="157">
        <v>43250</v>
      </c>
      <c r="B1412" s="158">
        <v>14568.75</v>
      </c>
      <c r="C1412"/>
      <c r="D1412" s="160"/>
    </row>
    <row r="1413" spans="1:4" x14ac:dyDescent="0.3">
      <c r="A1413" s="157">
        <v>43249</v>
      </c>
      <c r="B1413" s="158">
        <v>14594.78</v>
      </c>
      <c r="C1413"/>
      <c r="D1413" s="160"/>
    </row>
    <row r="1414" spans="1:4" x14ac:dyDescent="0.3">
      <c r="A1414" s="157">
        <v>43248</v>
      </c>
      <c r="B1414" s="158">
        <v>14670.76</v>
      </c>
      <c r="C1414"/>
      <c r="D1414" s="160"/>
    </row>
    <row r="1415" spans="1:4" x14ac:dyDescent="0.3">
      <c r="A1415" s="157">
        <v>43245</v>
      </c>
      <c r="B1415" s="158">
        <v>14556.18</v>
      </c>
      <c r="C1415"/>
      <c r="D1415" s="160"/>
    </row>
    <row r="1416" spans="1:4" x14ac:dyDescent="0.3">
      <c r="A1416" s="157">
        <v>43244</v>
      </c>
      <c r="B1416" s="158">
        <v>14415.65</v>
      </c>
      <c r="C1416"/>
      <c r="D1416" s="160"/>
    </row>
    <row r="1417" spans="1:4" x14ac:dyDescent="0.3">
      <c r="A1417" s="157">
        <v>43243</v>
      </c>
      <c r="B1417" s="158">
        <v>14301.15</v>
      </c>
      <c r="C1417"/>
      <c r="D1417" s="160"/>
    </row>
    <row r="1418" spans="1:4" x14ac:dyDescent="0.3">
      <c r="A1418" s="157">
        <v>43242</v>
      </c>
      <c r="B1418" s="158">
        <v>14446.97</v>
      </c>
      <c r="C1418"/>
      <c r="D1418" s="160"/>
    </row>
    <row r="1419" spans="1:4" x14ac:dyDescent="0.3">
      <c r="A1419" s="157">
        <v>43241</v>
      </c>
      <c r="B1419" s="158">
        <v>14419.57</v>
      </c>
      <c r="C1419"/>
      <c r="D1419" s="160"/>
    </row>
    <row r="1420" spans="1:4" x14ac:dyDescent="0.3">
      <c r="A1420" s="157">
        <v>43238</v>
      </c>
      <c r="B1420" s="158">
        <v>14528.82</v>
      </c>
      <c r="C1420"/>
      <c r="D1420" s="160"/>
    </row>
    <row r="1421" spans="1:4" x14ac:dyDescent="0.3">
      <c r="A1421" s="157">
        <v>43237</v>
      </c>
      <c r="B1421" s="158">
        <v>14647.15</v>
      </c>
      <c r="C1421"/>
      <c r="D1421" s="160"/>
    </row>
    <row r="1422" spans="1:4" x14ac:dyDescent="0.3">
      <c r="A1422" s="157">
        <v>43236</v>
      </c>
      <c r="B1422" s="158">
        <v>14727.26</v>
      </c>
      <c r="C1422"/>
      <c r="D1422" s="160"/>
    </row>
    <row r="1423" spans="1:4" x14ac:dyDescent="0.3">
      <c r="A1423" s="157">
        <v>43235</v>
      </c>
      <c r="B1423" s="158">
        <v>14810.54</v>
      </c>
      <c r="C1423"/>
      <c r="D1423" s="160"/>
    </row>
    <row r="1424" spans="1:4" x14ac:dyDescent="0.3">
      <c r="A1424" s="157">
        <v>43234</v>
      </c>
      <c r="B1424" s="158">
        <v>14817.01</v>
      </c>
      <c r="C1424"/>
      <c r="D1424" s="160"/>
    </row>
    <row r="1425" spans="1:4" x14ac:dyDescent="0.3">
      <c r="A1425" s="157">
        <v>43231</v>
      </c>
      <c r="B1425" s="158">
        <v>14816.93</v>
      </c>
      <c r="C1425"/>
      <c r="D1425" s="160"/>
    </row>
    <row r="1426" spans="1:4" x14ac:dyDescent="0.3">
      <c r="A1426" s="157">
        <v>43230</v>
      </c>
      <c r="B1426" s="158">
        <v>14693.55</v>
      </c>
      <c r="C1426"/>
      <c r="D1426" s="160"/>
    </row>
    <row r="1427" spans="1:4" x14ac:dyDescent="0.3">
      <c r="A1427" s="157">
        <v>43229</v>
      </c>
      <c r="B1427" s="158">
        <v>14728.03</v>
      </c>
      <c r="C1427"/>
      <c r="D1427" s="160"/>
    </row>
    <row r="1428" spans="1:4" x14ac:dyDescent="0.3">
      <c r="A1428" s="157">
        <v>43228</v>
      </c>
      <c r="B1428" s="158">
        <v>14694.93</v>
      </c>
      <c r="C1428"/>
      <c r="D1428" s="160"/>
    </row>
    <row r="1429" spans="1:4" x14ac:dyDescent="0.3">
      <c r="A1429" s="157">
        <v>43227</v>
      </c>
      <c r="B1429" s="158">
        <v>14691.72</v>
      </c>
      <c r="C1429"/>
      <c r="D1429" s="160"/>
    </row>
    <row r="1430" spans="1:4" x14ac:dyDescent="0.3">
      <c r="A1430" s="157">
        <v>43224</v>
      </c>
      <c r="B1430" s="158">
        <v>14558.42</v>
      </c>
      <c r="C1430"/>
      <c r="D1430" s="160"/>
    </row>
    <row r="1431" spans="1:4" x14ac:dyDescent="0.3">
      <c r="A1431" s="157">
        <v>43223</v>
      </c>
      <c r="B1431" s="158">
        <v>14642.62</v>
      </c>
      <c r="C1431"/>
      <c r="D1431" s="160"/>
    </row>
    <row r="1432" spans="1:4" x14ac:dyDescent="0.3">
      <c r="A1432" s="157">
        <v>43222</v>
      </c>
      <c r="B1432" s="158">
        <v>14695.26</v>
      </c>
      <c r="C1432"/>
      <c r="D1432" s="160"/>
    </row>
    <row r="1433" spans="1:4" x14ac:dyDescent="0.3">
      <c r="A1433" s="157">
        <v>43220</v>
      </c>
      <c r="B1433" s="158">
        <v>14723.32</v>
      </c>
      <c r="C1433"/>
      <c r="D1433" s="160"/>
    </row>
    <row r="1434" spans="1:4" x14ac:dyDescent="0.3">
      <c r="A1434" s="157">
        <v>43217</v>
      </c>
      <c r="B1434" s="158">
        <v>14658.83</v>
      </c>
      <c r="C1434"/>
      <c r="D1434" s="160"/>
    </row>
    <row r="1435" spans="1:4" x14ac:dyDescent="0.3">
      <c r="A1435" s="157">
        <v>43216</v>
      </c>
      <c r="B1435" s="158">
        <v>14556.65</v>
      </c>
      <c r="C1435"/>
      <c r="D1435" s="160"/>
    </row>
    <row r="1436" spans="1:4" x14ac:dyDescent="0.3">
      <c r="A1436" s="157">
        <v>43215</v>
      </c>
      <c r="B1436" s="158">
        <v>14491.88</v>
      </c>
      <c r="C1436"/>
      <c r="D1436" s="160"/>
    </row>
    <row r="1437" spans="1:4" x14ac:dyDescent="0.3">
      <c r="A1437" s="157">
        <v>43214</v>
      </c>
      <c r="B1437" s="158">
        <v>14551.96</v>
      </c>
      <c r="C1437"/>
      <c r="D1437" s="160"/>
    </row>
    <row r="1438" spans="1:4" x14ac:dyDescent="0.3">
      <c r="A1438" s="157">
        <v>43213</v>
      </c>
      <c r="B1438" s="158">
        <v>14511.28</v>
      </c>
      <c r="C1438"/>
      <c r="D1438" s="160"/>
    </row>
    <row r="1439" spans="1:4" x14ac:dyDescent="0.3">
      <c r="A1439" s="157">
        <v>43210</v>
      </c>
      <c r="B1439" s="158">
        <v>14482.97</v>
      </c>
      <c r="C1439"/>
      <c r="D1439" s="160"/>
    </row>
    <row r="1440" spans="1:4" x14ac:dyDescent="0.3">
      <c r="A1440" s="157">
        <v>43209</v>
      </c>
      <c r="B1440" s="158">
        <v>14484.7</v>
      </c>
      <c r="C1440"/>
      <c r="D1440" s="160"/>
    </row>
    <row r="1441" spans="1:4" x14ac:dyDescent="0.3">
      <c r="A1441" s="157">
        <v>43208</v>
      </c>
      <c r="B1441" s="158">
        <v>14431.07</v>
      </c>
      <c r="C1441"/>
      <c r="D1441" s="160"/>
    </row>
    <row r="1442" spans="1:4" x14ac:dyDescent="0.3">
      <c r="A1442" s="157">
        <v>43207</v>
      </c>
      <c r="B1442" s="158">
        <v>14461.97</v>
      </c>
      <c r="C1442"/>
      <c r="D1442" s="160"/>
    </row>
    <row r="1443" spans="1:4" x14ac:dyDescent="0.3">
      <c r="A1443" s="157">
        <v>43206</v>
      </c>
      <c r="B1443" s="158">
        <v>14434.05</v>
      </c>
      <c r="C1443"/>
      <c r="D1443" s="160"/>
    </row>
    <row r="1444" spans="1:4" x14ac:dyDescent="0.3">
      <c r="A1444" s="157">
        <v>43203</v>
      </c>
      <c r="B1444" s="158">
        <v>14368.56</v>
      </c>
      <c r="C1444"/>
      <c r="D1444" s="160"/>
    </row>
    <row r="1445" spans="1:4" x14ac:dyDescent="0.3">
      <c r="A1445" s="157">
        <v>43202</v>
      </c>
      <c r="B1445" s="158">
        <v>14338.46</v>
      </c>
      <c r="C1445"/>
      <c r="D1445" s="160"/>
    </row>
    <row r="1446" spans="1:4" x14ac:dyDescent="0.3">
      <c r="A1446" s="157">
        <v>43201</v>
      </c>
      <c r="B1446" s="158">
        <v>14281.6</v>
      </c>
      <c r="C1446"/>
      <c r="D1446" s="160"/>
    </row>
    <row r="1447" spans="1:4" x14ac:dyDescent="0.3">
      <c r="A1447" s="157">
        <v>43200</v>
      </c>
      <c r="B1447" s="158">
        <v>14261.15</v>
      </c>
      <c r="C1447"/>
      <c r="D1447" s="160"/>
    </row>
    <row r="1448" spans="1:4" x14ac:dyDescent="0.3">
      <c r="A1448" s="157">
        <v>43199</v>
      </c>
      <c r="B1448" s="158">
        <v>14229.77</v>
      </c>
      <c r="C1448"/>
      <c r="D1448" s="160"/>
    </row>
    <row r="1449" spans="1:4" x14ac:dyDescent="0.3">
      <c r="A1449" s="157">
        <v>43196</v>
      </c>
      <c r="B1449" s="158">
        <v>14164.28</v>
      </c>
      <c r="C1449"/>
      <c r="D1449" s="160"/>
    </row>
    <row r="1450" spans="1:4" x14ac:dyDescent="0.3">
      <c r="A1450" s="157">
        <v>43195</v>
      </c>
      <c r="B1450" s="158">
        <v>14155.47</v>
      </c>
      <c r="C1450"/>
      <c r="D1450" s="160"/>
    </row>
    <row r="1451" spans="1:4" x14ac:dyDescent="0.3">
      <c r="A1451" s="157">
        <v>43194</v>
      </c>
      <c r="B1451" s="158">
        <v>13885.72</v>
      </c>
      <c r="C1451"/>
      <c r="D1451" s="160"/>
    </row>
    <row r="1452" spans="1:4" x14ac:dyDescent="0.3">
      <c r="A1452" s="157">
        <v>43193</v>
      </c>
      <c r="B1452" s="158">
        <v>14045.55</v>
      </c>
      <c r="C1452"/>
      <c r="D1452" s="160"/>
    </row>
    <row r="1453" spans="1:4" x14ac:dyDescent="0.3">
      <c r="A1453" s="157">
        <v>43192</v>
      </c>
      <c r="B1453" s="158">
        <v>14000.07</v>
      </c>
      <c r="C1453"/>
      <c r="D1453" s="160"/>
    </row>
    <row r="1454" spans="1:4" x14ac:dyDescent="0.3">
      <c r="A1454" s="157">
        <v>43187</v>
      </c>
      <c r="B1454" s="158">
        <v>13865.57</v>
      </c>
      <c r="C1454"/>
      <c r="D1454" s="160"/>
    </row>
    <row r="1455" spans="1:4" x14ac:dyDescent="0.3">
      <c r="A1455" s="157">
        <v>43186</v>
      </c>
      <c r="B1455" s="158">
        <v>13962.15</v>
      </c>
      <c r="C1455"/>
      <c r="D1455" s="160"/>
    </row>
    <row r="1456" spans="1:4" x14ac:dyDescent="0.3">
      <c r="A1456" s="157">
        <v>43185</v>
      </c>
      <c r="B1456" s="158">
        <v>13888.82</v>
      </c>
      <c r="C1456"/>
      <c r="D1456" s="160"/>
    </row>
    <row r="1457" spans="1:4" x14ac:dyDescent="0.3">
      <c r="A1457" s="157">
        <v>43182</v>
      </c>
      <c r="B1457" s="158">
        <v>13706.99</v>
      </c>
      <c r="C1457"/>
      <c r="D1457" s="160"/>
    </row>
    <row r="1458" spans="1:4" x14ac:dyDescent="0.3">
      <c r="A1458" s="157">
        <v>43181</v>
      </c>
      <c r="B1458" s="158">
        <v>13867.01</v>
      </c>
      <c r="C1458"/>
      <c r="D1458" s="160"/>
    </row>
    <row r="1459" spans="1:4" x14ac:dyDescent="0.3">
      <c r="A1459" s="157">
        <v>43180</v>
      </c>
      <c r="B1459" s="158">
        <v>13920.51</v>
      </c>
      <c r="C1459"/>
      <c r="D1459" s="160"/>
    </row>
    <row r="1460" spans="1:4" x14ac:dyDescent="0.3">
      <c r="A1460" s="157">
        <v>43179</v>
      </c>
      <c r="B1460" s="158">
        <v>13878.17</v>
      </c>
      <c r="C1460"/>
      <c r="D1460" s="160"/>
    </row>
    <row r="1461" spans="1:4" x14ac:dyDescent="0.3">
      <c r="A1461" s="157">
        <v>43178</v>
      </c>
      <c r="B1461" s="158">
        <v>13822.99</v>
      </c>
      <c r="C1461"/>
      <c r="D1461" s="160"/>
    </row>
    <row r="1462" spans="1:4" x14ac:dyDescent="0.3">
      <c r="A1462" s="157">
        <v>43175</v>
      </c>
      <c r="B1462" s="158">
        <v>13961.14</v>
      </c>
      <c r="C1462"/>
      <c r="D1462" s="160"/>
    </row>
    <row r="1463" spans="1:4" x14ac:dyDescent="0.3">
      <c r="A1463" s="157">
        <v>43174</v>
      </c>
      <c r="B1463" s="158">
        <v>14179.36</v>
      </c>
      <c r="C1463"/>
      <c r="D1463" s="160"/>
    </row>
    <row r="1464" spans="1:4" x14ac:dyDescent="0.3">
      <c r="A1464" s="157">
        <v>43173</v>
      </c>
      <c r="B1464" s="158">
        <v>14248.81</v>
      </c>
      <c r="C1464"/>
      <c r="D1464" s="160"/>
    </row>
    <row r="1465" spans="1:4" x14ac:dyDescent="0.3">
      <c r="A1465" s="157">
        <v>43172</v>
      </c>
      <c r="B1465" s="158">
        <v>14270.64</v>
      </c>
      <c r="C1465"/>
      <c r="D1465" s="160"/>
    </row>
    <row r="1466" spans="1:4" x14ac:dyDescent="0.3">
      <c r="A1466" s="157">
        <v>43171</v>
      </c>
      <c r="B1466" s="158">
        <v>14260.92</v>
      </c>
      <c r="C1466"/>
      <c r="D1466" s="160"/>
    </row>
    <row r="1467" spans="1:4" x14ac:dyDescent="0.3">
      <c r="A1467" s="157">
        <v>43168</v>
      </c>
      <c r="B1467" s="158">
        <v>13994.68</v>
      </c>
      <c r="C1467"/>
      <c r="D1467" s="160"/>
    </row>
    <row r="1468" spans="1:4" x14ac:dyDescent="0.3">
      <c r="A1468" s="157">
        <v>43167</v>
      </c>
      <c r="B1468" s="158">
        <v>14016.3</v>
      </c>
      <c r="C1468"/>
      <c r="D1468" s="160"/>
    </row>
    <row r="1469" spans="1:4" x14ac:dyDescent="0.3">
      <c r="A1469" s="157">
        <v>43166</v>
      </c>
      <c r="B1469" s="158">
        <v>13895.27</v>
      </c>
      <c r="C1469"/>
      <c r="D1469" s="160"/>
    </row>
    <row r="1470" spans="1:4" x14ac:dyDescent="0.3">
      <c r="A1470" s="157">
        <v>43165</v>
      </c>
      <c r="B1470" s="158">
        <v>14025.34</v>
      </c>
      <c r="C1470"/>
      <c r="D1470" s="160"/>
    </row>
    <row r="1471" spans="1:4" x14ac:dyDescent="0.3">
      <c r="A1471" s="157">
        <v>43164</v>
      </c>
      <c r="B1471" s="158">
        <v>14175.32</v>
      </c>
      <c r="C1471"/>
      <c r="D1471" s="160"/>
    </row>
    <row r="1472" spans="1:4" x14ac:dyDescent="0.3">
      <c r="A1472" s="157">
        <v>43160</v>
      </c>
      <c r="B1472" s="158">
        <v>14311.52</v>
      </c>
      <c r="C1472"/>
      <c r="D1472" s="160"/>
    </row>
    <row r="1473" spans="1:4" x14ac:dyDescent="0.3">
      <c r="A1473" s="157">
        <v>43159</v>
      </c>
      <c r="B1473" s="158">
        <v>14358.71</v>
      </c>
      <c r="C1473"/>
      <c r="D1473" s="160"/>
    </row>
    <row r="1474" spans="1:4" x14ac:dyDescent="0.3">
      <c r="A1474" s="157">
        <v>43158</v>
      </c>
      <c r="B1474" s="158">
        <v>14438.9</v>
      </c>
      <c r="C1474"/>
      <c r="D1474" s="160"/>
    </row>
    <row r="1475" spans="1:4" x14ac:dyDescent="0.3">
      <c r="A1475" s="157">
        <v>43157</v>
      </c>
      <c r="B1475" s="158">
        <v>14477.62</v>
      </c>
      <c r="C1475"/>
      <c r="D1475" s="160"/>
    </row>
    <row r="1476" spans="1:4" x14ac:dyDescent="0.3">
      <c r="A1476" s="157">
        <v>43154</v>
      </c>
      <c r="B1476" s="158">
        <v>14352.4</v>
      </c>
      <c r="C1476"/>
      <c r="D1476" s="160"/>
    </row>
    <row r="1477" spans="1:4" x14ac:dyDescent="0.3">
      <c r="A1477" s="157">
        <v>43153</v>
      </c>
      <c r="B1477" s="158">
        <v>14204.17</v>
      </c>
      <c r="C1477"/>
      <c r="D1477" s="160"/>
    </row>
    <row r="1478" spans="1:4" x14ac:dyDescent="0.3">
      <c r="A1478" s="157">
        <v>43152</v>
      </c>
      <c r="B1478" s="158">
        <v>14220.48</v>
      </c>
      <c r="C1478"/>
      <c r="D1478" s="160"/>
    </row>
    <row r="1479" spans="1:4" x14ac:dyDescent="0.3">
      <c r="A1479" s="157">
        <v>43151</v>
      </c>
      <c r="B1479" s="158">
        <v>14169.77</v>
      </c>
      <c r="C1479"/>
      <c r="D1479" s="160"/>
    </row>
    <row r="1480" spans="1:4" x14ac:dyDescent="0.3">
      <c r="A1480" s="157">
        <v>43150</v>
      </c>
      <c r="B1480" s="158">
        <v>14194.28</v>
      </c>
      <c r="C1480"/>
      <c r="D1480" s="160"/>
    </row>
    <row r="1481" spans="1:4" x14ac:dyDescent="0.3">
      <c r="A1481" s="157">
        <v>43147</v>
      </c>
      <c r="B1481" s="158">
        <v>14295.41</v>
      </c>
      <c r="C1481"/>
      <c r="D1481" s="160"/>
    </row>
    <row r="1482" spans="1:4" x14ac:dyDescent="0.3">
      <c r="A1482" s="157">
        <v>43146</v>
      </c>
      <c r="B1482" s="158">
        <v>14422.85</v>
      </c>
      <c r="C1482"/>
      <c r="D1482" s="160"/>
    </row>
    <row r="1483" spans="1:4" x14ac:dyDescent="0.3">
      <c r="A1483" s="157">
        <v>43145</v>
      </c>
      <c r="B1483" s="158">
        <v>14359.35</v>
      </c>
      <c r="C1483"/>
      <c r="D1483" s="160"/>
    </row>
    <row r="1484" spans="1:4" x14ac:dyDescent="0.3">
      <c r="A1484" s="157">
        <v>43143</v>
      </c>
      <c r="B1484" s="158">
        <v>14412.46</v>
      </c>
      <c r="C1484"/>
      <c r="D1484" s="160"/>
    </row>
    <row r="1485" spans="1:4" x14ac:dyDescent="0.3">
      <c r="A1485" s="157">
        <v>43140</v>
      </c>
      <c r="B1485" s="158">
        <v>14296.5</v>
      </c>
      <c r="C1485"/>
      <c r="D1485" s="160"/>
    </row>
    <row r="1486" spans="1:4" x14ac:dyDescent="0.3">
      <c r="A1486" s="157">
        <v>43139</v>
      </c>
      <c r="B1486" s="158">
        <v>14463.16</v>
      </c>
      <c r="C1486"/>
      <c r="D1486" s="160"/>
    </row>
    <row r="1487" spans="1:4" x14ac:dyDescent="0.3">
      <c r="A1487" s="157">
        <v>43138</v>
      </c>
      <c r="B1487" s="158">
        <v>14317.57</v>
      </c>
      <c r="C1487"/>
      <c r="D1487" s="160"/>
    </row>
    <row r="1488" spans="1:4" x14ac:dyDescent="0.3">
      <c r="A1488" s="157">
        <v>43137</v>
      </c>
      <c r="B1488" s="158">
        <v>14344.02</v>
      </c>
      <c r="C1488"/>
      <c r="D1488" s="160"/>
    </row>
    <row r="1489" spans="1:4" x14ac:dyDescent="0.3">
      <c r="A1489" s="157">
        <v>43136</v>
      </c>
      <c r="B1489" s="158">
        <v>14574</v>
      </c>
      <c r="C1489"/>
      <c r="D1489" s="160"/>
    </row>
    <row r="1490" spans="1:4" x14ac:dyDescent="0.3">
      <c r="A1490" s="157">
        <v>43133</v>
      </c>
      <c r="B1490" s="158">
        <v>14702.49</v>
      </c>
      <c r="C1490"/>
      <c r="D1490" s="160"/>
    </row>
    <row r="1491" spans="1:4" x14ac:dyDescent="0.3">
      <c r="A1491" s="157">
        <v>43132</v>
      </c>
      <c r="B1491" s="158">
        <v>15052.72</v>
      </c>
      <c r="C1491"/>
      <c r="D1491" s="160"/>
    </row>
    <row r="1492" spans="1:4" x14ac:dyDescent="0.3">
      <c r="A1492" s="157">
        <v>43131</v>
      </c>
      <c r="B1492" s="158">
        <v>15065.82</v>
      </c>
      <c r="C1492"/>
      <c r="D1492" s="160"/>
    </row>
    <row r="1493" spans="1:4" x14ac:dyDescent="0.3">
      <c r="A1493" s="157">
        <v>43130</v>
      </c>
      <c r="B1493" s="158">
        <v>15095.42</v>
      </c>
      <c r="C1493"/>
      <c r="D1493" s="160"/>
    </row>
    <row r="1494" spans="1:4" x14ac:dyDescent="0.3">
      <c r="A1494" s="157">
        <v>43129</v>
      </c>
      <c r="B1494" s="158">
        <v>15204.42</v>
      </c>
      <c r="C1494"/>
      <c r="D1494" s="160"/>
    </row>
    <row r="1495" spans="1:4" x14ac:dyDescent="0.3">
      <c r="A1495" s="157">
        <v>43125</v>
      </c>
      <c r="B1495" s="158">
        <v>15121</v>
      </c>
      <c r="C1495"/>
      <c r="D1495" s="160"/>
    </row>
    <row r="1496" spans="1:4" x14ac:dyDescent="0.3">
      <c r="A1496" s="157">
        <v>43124</v>
      </c>
      <c r="B1496" s="158">
        <v>15143.35</v>
      </c>
      <c r="C1496"/>
      <c r="D1496" s="160"/>
    </row>
    <row r="1497" spans="1:4" x14ac:dyDescent="0.3">
      <c r="A1497" s="157">
        <v>43123</v>
      </c>
      <c r="B1497" s="158">
        <v>15140.24</v>
      </c>
      <c r="C1497"/>
      <c r="D1497" s="160"/>
    </row>
    <row r="1498" spans="1:4" x14ac:dyDescent="0.3">
      <c r="A1498" s="157">
        <v>43122</v>
      </c>
      <c r="B1498" s="158">
        <v>14979.72</v>
      </c>
      <c r="C1498"/>
      <c r="D1498" s="160"/>
    </row>
    <row r="1499" spans="1:4" x14ac:dyDescent="0.3">
      <c r="A1499" s="157">
        <v>43119</v>
      </c>
      <c r="B1499" s="158">
        <v>14880.8</v>
      </c>
      <c r="C1499"/>
      <c r="D1499" s="160"/>
    </row>
    <row r="1500" spans="1:4" x14ac:dyDescent="0.3">
      <c r="A1500" s="157">
        <v>43118</v>
      </c>
      <c r="B1500" s="158">
        <v>14774.67</v>
      </c>
      <c r="C1500"/>
      <c r="D1500" s="160"/>
    </row>
    <row r="1501" spans="1:4" x14ac:dyDescent="0.3">
      <c r="A1501" s="157">
        <v>43117</v>
      </c>
      <c r="B1501" s="158">
        <v>14734.07</v>
      </c>
      <c r="C1501"/>
      <c r="D1501" s="160"/>
    </row>
    <row r="1502" spans="1:4" x14ac:dyDescent="0.3">
      <c r="A1502" s="157">
        <v>43116</v>
      </c>
      <c r="B1502" s="158">
        <v>14613.79</v>
      </c>
      <c r="C1502"/>
      <c r="D1502" s="160"/>
    </row>
    <row r="1503" spans="1:4" x14ac:dyDescent="0.3">
      <c r="A1503" s="157">
        <v>43115</v>
      </c>
      <c r="B1503" s="158">
        <v>14669.9</v>
      </c>
      <c r="C1503"/>
      <c r="D1503" s="160"/>
    </row>
    <row r="1504" spans="1:4" x14ac:dyDescent="0.3">
      <c r="A1504" s="157">
        <v>43112</v>
      </c>
      <c r="B1504" s="158">
        <v>14587.54</v>
      </c>
      <c r="C1504"/>
      <c r="D1504" s="160"/>
    </row>
    <row r="1505" spans="1:4" x14ac:dyDescent="0.3">
      <c r="A1505" s="157">
        <v>43111</v>
      </c>
      <c r="B1505" s="158">
        <v>14546.49</v>
      </c>
      <c r="C1505"/>
      <c r="D1505" s="160"/>
    </row>
    <row r="1506" spans="1:4" x14ac:dyDescent="0.3">
      <c r="A1506" s="157">
        <v>43110</v>
      </c>
      <c r="B1506" s="158">
        <v>14520.56</v>
      </c>
      <c r="C1506"/>
      <c r="D1506" s="160"/>
    </row>
    <row r="1507" spans="1:4" x14ac:dyDescent="0.3">
      <c r="A1507" s="157">
        <v>43109</v>
      </c>
      <c r="B1507" s="158">
        <v>14527.15</v>
      </c>
      <c r="C1507"/>
      <c r="D1507" s="160"/>
    </row>
    <row r="1508" spans="1:4" x14ac:dyDescent="0.3">
      <c r="A1508" s="157">
        <v>43108</v>
      </c>
      <c r="B1508" s="158">
        <v>14508.81</v>
      </c>
      <c r="C1508"/>
      <c r="D1508" s="160"/>
    </row>
    <row r="1509" spans="1:4" x14ac:dyDescent="0.3">
      <c r="A1509" s="157">
        <v>43105</v>
      </c>
      <c r="B1509" s="158">
        <v>14420.42</v>
      </c>
      <c r="C1509"/>
      <c r="D1509" s="160"/>
    </row>
    <row r="1510" spans="1:4" x14ac:dyDescent="0.3">
      <c r="A1510" s="157">
        <v>43104</v>
      </c>
      <c r="B1510" s="158">
        <v>14346.59</v>
      </c>
      <c r="C1510"/>
      <c r="D1510" s="160"/>
    </row>
    <row r="1511" spans="1:4" x14ac:dyDescent="0.3">
      <c r="A1511" s="157">
        <v>43103</v>
      </c>
      <c r="B1511" s="158">
        <v>14262.48</v>
      </c>
      <c r="C1511"/>
      <c r="D1511" s="160"/>
    </row>
    <row r="1512" spans="1:4" x14ac:dyDescent="0.3">
      <c r="A1512" s="157">
        <v>43102</v>
      </c>
      <c r="B1512" s="158">
        <v>14261.1</v>
      </c>
      <c r="C1512"/>
      <c r="D1512" s="160"/>
    </row>
    <row r="1513" spans="1:4" x14ac:dyDescent="0.3">
      <c r="A1513" s="157">
        <v>43101</v>
      </c>
      <c r="B1513" s="158">
        <v>14252.02</v>
      </c>
      <c r="C1513"/>
      <c r="D1513" s="160"/>
    </row>
    <row r="1514" spans="1:4" x14ac:dyDescent="0.3">
      <c r="A1514" s="157">
        <v>43098</v>
      </c>
      <c r="B1514" s="158">
        <v>14381.92</v>
      </c>
      <c r="C1514"/>
      <c r="D1514" s="160"/>
    </row>
    <row r="1515" spans="1:4" x14ac:dyDescent="0.3">
      <c r="A1515" s="157">
        <v>43097</v>
      </c>
      <c r="B1515" s="158">
        <v>14309.85</v>
      </c>
      <c r="C1515"/>
      <c r="D1515" s="160"/>
    </row>
    <row r="1516" spans="1:4" x14ac:dyDescent="0.3">
      <c r="A1516" s="157">
        <v>43096</v>
      </c>
      <c r="B1516" s="158">
        <v>14327.42</v>
      </c>
      <c r="C1516"/>
      <c r="D1516" s="160"/>
    </row>
    <row r="1517" spans="1:4" x14ac:dyDescent="0.3">
      <c r="A1517" s="157">
        <v>43095</v>
      </c>
      <c r="B1517" s="158">
        <v>14383.04</v>
      </c>
      <c r="C1517"/>
      <c r="D1517" s="160"/>
    </row>
    <row r="1518" spans="1:4" x14ac:dyDescent="0.3">
      <c r="A1518" s="157">
        <v>43091</v>
      </c>
      <c r="B1518" s="158">
        <v>14330.49</v>
      </c>
      <c r="C1518"/>
      <c r="D1518" s="160"/>
    </row>
    <row r="1519" spans="1:4" x14ac:dyDescent="0.3">
      <c r="A1519" s="157">
        <v>43090</v>
      </c>
      <c r="B1519" s="158">
        <v>14258.49</v>
      </c>
      <c r="C1519"/>
      <c r="D1519" s="160"/>
    </row>
    <row r="1520" spans="1:4" x14ac:dyDescent="0.3">
      <c r="A1520" s="157">
        <v>43089</v>
      </c>
      <c r="B1520" s="158">
        <v>14263.81</v>
      </c>
      <c r="C1520"/>
      <c r="D1520" s="160"/>
    </row>
    <row r="1521" spans="1:4" x14ac:dyDescent="0.3">
      <c r="A1521" s="157">
        <v>43088</v>
      </c>
      <c r="B1521" s="158">
        <v>14289.76</v>
      </c>
      <c r="C1521"/>
      <c r="D1521" s="160"/>
    </row>
    <row r="1522" spans="1:4" x14ac:dyDescent="0.3">
      <c r="A1522" s="157">
        <v>43087</v>
      </c>
      <c r="B1522" s="158">
        <v>14188.11</v>
      </c>
      <c r="C1522"/>
      <c r="D1522" s="160"/>
    </row>
    <row r="1523" spans="1:4" x14ac:dyDescent="0.3">
      <c r="A1523" s="157">
        <v>43084</v>
      </c>
      <c r="B1523" s="158">
        <v>14112.3</v>
      </c>
      <c r="C1523"/>
      <c r="D1523" s="160"/>
    </row>
    <row r="1524" spans="1:4" x14ac:dyDescent="0.3">
      <c r="A1524" s="157">
        <v>43083</v>
      </c>
      <c r="B1524" s="158">
        <v>14001.49</v>
      </c>
      <c r="C1524"/>
      <c r="D1524" s="160"/>
    </row>
    <row r="1525" spans="1:4" x14ac:dyDescent="0.3">
      <c r="A1525" s="157">
        <v>43082</v>
      </c>
      <c r="B1525" s="158">
        <v>13920.69</v>
      </c>
      <c r="C1525"/>
      <c r="D1525" s="160"/>
    </row>
    <row r="1526" spans="1:4" x14ac:dyDescent="0.3">
      <c r="A1526" s="157">
        <v>43081</v>
      </c>
      <c r="B1526" s="158">
        <v>13985.11</v>
      </c>
      <c r="C1526"/>
      <c r="D1526" s="160"/>
    </row>
    <row r="1527" spans="1:4" x14ac:dyDescent="0.3">
      <c r="A1527" s="157">
        <v>43080</v>
      </c>
      <c r="B1527" s="158">
        <v>14097.29</v>
      </c>
      <c r="C1527"/>
      <c r="D1527" s="160"/>
    </row>
    <row r="1528" spans="1:4" x14ac:dyDescent="0.3">
      <c r="A1528" s="157">
        <v>43077</v>
      </c>
      <c r="B1528" s="158">
        <v>14019.95</v>
      </c>
      <c r="C1528"/>
      <c r="D1528" s="160"/>
    </row>
    <row r="1529" spans="1:4" x14ac:dyDescent="0.3">
      <c r="A1529" s="157">
        <v>43076</v>
      </c>
      <c r="B1529" s="158">
        <v>13884.82</v>
      </c>
      <c r="C1529"/>
      <c r="D1529" s="160"/>
    </row>
    <row r="1530" spans="1:4" x14ac:dyDescent="0.3">
      <c r="A1530" s="157">
        <v>43075</v>
      </c>
      <c r="B1530" s="158">
        <v>13717.36</v>
      </c>
      <c r="C1530"/>
      <c r="D1530" s="160"/>
    </row>
    <row r="1531" spans="1:4" x14ac:dyDescent="0.3">
      <c r="A1531" s="157">
        <v>43074</v>
      </c>
      <c r="B1531" s="158">
        <v>13818.67</v>
      </c>
      <c r="C1531"/>
      <c r="D1531" s="160"/>
    </row>
    <row r="1532" spans="1:4" x14ac:dyDescent="0.3">
      <c r="A1532" s="157">
        <v>43073</v>
      </c>
      <c r="B1532" s="158">
        <v>13831.66</v>
      </c>
      <c r="C1532"/>
      <c r="D1532" s="160"/>
    </row>
    <row r="1533" spans="1:4" x14ac:dyDescent="0.3">
      <c r="A1533" s="157">
        <v>43070</v>
      </c>
      <c r="B1533" s="158">
        <v>13823.52</v>
      </c>
      <c r="C1533"/>
      <c r="D1533" s="160"/>
    </row>
    <row r="1534" spans="1:4" x14ac:dyDescent="0.3">
      <c r="A1534" s="157">
        <v>43069</v>
      </c>
      <c r="B1534" s="158">
        <v>13966.58</v>
      </c>
      <c r="C1534"/>
      <c r="D1534" s="160"/>
    </row>
    <row r="1535" spans="1:4" x14ac:dyDescent="0.3">
      <c r="A1535" s="157">
        <v>43068</v>
      </c>
      <c r="B1535" s="158">
        <v>14150.6</v>
      </c>
      <c r="C1535"/>
      <c r="D1535" s="160"/>
    </row>
    <row r="1536" spans="1:4" x14ac:dyDescent="0.3">
      <c r="A1536" s="157">
        <v>43067</v>
      </c>
      <c r="B1536" s="158">
        <v>14162.79</v>
      </c>
      <c r="C1536"/>
      <c r="D1536" s="160"/>
    </row>
    <row r="1537" spans="1:4" x14ac:dyDescent="0.3">
      <c r="A1537" s="157">
        <v>43066</v>
      </c>
      <c r="B1537" s="158">
        <v>14202.82</v>
      </c>
      <c r="C1537"/>
      <c r="D1537" s="160"/>
    </row>
    <row r="1538" spans="1:4" x14ac:dyDescent="0.3">
      <c r="A1538" s="157">
        <v>43063</v>
      </c>
      <c r="B1538" s="158">
        <v>14189.41</v>
      </c>
      <c r="C1538"/>
      <c r="D1538" s="160"/>
    </row>
    <row r="1539" spans="1:4" x14ac:dyDescent="0.3">
      <c r="A1539" s="157">
        <v>43062</v>
      </c>
      <c r="B1539" s="158">
        <v>14133.47</v>
      </c>
      <c r="C1539"/>
      <c r="D1539" s="160"/>
    </row>
    <row r="1540" spans="1:4" x14ac:dyDescent="0.3">
      <c r="A1540" s="157">
        <v>43061</v>
      </c>
      <c r="B1540" s="158">
        <v>14124.68</v>
      </c>
      <c r="C1540"/>
      <c r="D1540" s="160"/>
    </row>
    <row r="1541" spans="1:4" x14ac:dyDescent="0.3">
      <c r="A1541" s="157">
        <v>43060</v>
      </c>
      <c r="B1541" s="158">
        <v>14103.64</v>
      </c>
      <c r="C1541"/>
      <c r="D1541" s="160"/>
    </row>
    <row r="1542" spans="1:4" x14ac:dyDescent="0.3">
      <c r="A1542" s="157">
        <v>43059</v>
      </c>
      <c r="B1542" s="158">
        <v>14065.05</v>
      </c>
      <c r="C1542"/>
      <c r="D1542" s="160"/>
    </row>
    <row r="1543" spans="1:4" x14ac:dyDescent="0.3">
      <c r="A1543" s="157">
        <v>43056</v>
      </c>
      <c r="B1543" s="158">
        <v>14044.32</v>
      </c>
      <c r="C1543"/>
      <c r="D1543" s="160"/>
    </row>
    <row r="1544" spans="1:4" x14ac:dyDescent="0.3">
      <c r="A1544" s="157">
        <v>43055</v>
      </c>
      <c r="B1544" s="158">
        <v>13950.33</v>
      </c>
      <c r="C1544"/>
      <c r="D1544" s="160"/>
    </row>
    <row r="1545" spans="1:4" x14ac:dyDescent="0.3">
      <c r="A1545" s="157">
        <v>43054</v>
      </c>
      <c r="B1545" s="158">
        <v>13818.25</v>
      </c>
      <c r="C1545"/>
      <c r="D1545" s="160"/>
    </row>
    <row r="1546" spans="1:4" x14ac:dyDescent="0.3">
      <c r="A1546" s="157">
        <v>43053</v>
      </c>
      <c r="B1546" s="158">
        <v>13911.87</v>
      </c>
      <c r="C1546"/>
      <c r="D1546" s="160"/>
    </row>
    <row r="1547" spans="1:4" x14ac:dyDescent="0.3">
      <c r="A1547" s="157">
        <v>43052</v>
      </c>
      <c r="B1547" s="158">
        <v>13964.26</v>
      </c>
      <c r="C1547"/>
      <c r="D1547" s="160"/>
    </row>
    <row r="1548" spans="1:4" x14ac:dyDescent="0.3">
      <c r="A1548" s="157">
        <v>43049</v>
      </c>
      <c r="B1548" s="158">
        <v>14096.45</v>
      </c>
      <c r="C1548"/>
      <c r="D1548" s="160"/>
    </row>
    <row r="1549" spans="1:4" x14ac:dyDescent="0.3">
      <c r="A1549" s="157">
        <v>43048</v>
      </c>
      <c r="B1549" s="158">
        <v>14078.98</v>
      </c>
      <c r="C1549"/>
      <c r="D1549" s="160"/>
    </row>
    <row r="1550" spans="1:4" x14ac:dyDescent="0.3">
      <c r="A1550" s="157">
        <v>43047</v>
      </c>
      <c r="B1550" s="158">
        <v>14071.02</v>
      </c>
      <c r="C1550"/>
      <c r="D1550" s="160"/>
    </row>
    <row r="1551" spans="1:4" x14ac:dyDescent="0.3">
      <c r="A1551" s="157">
        <v>43046</v>
      </c>
      <c r="B1551" s="158">
        <v>14135.23</v>
      </c>
      <c r="C1551"/>
      <c r="D1551" s="160"/>
    </row>
    <row r="1552" spans="1:4" x14ac:dyDescent="0.3">
      <c r="A1552" s="157">
        <v>43045</v>
      </c>
      <c r="B1552" s="158">
        <v>14274.03</v>
      </c>
      <c r="C1552"/>
      <c r="D1552" s="160"/>
    </row>
    <row r="1553" spans="1:4" x14ac:dyDescent="0.3">
      <c r="A1553" s="157">
        <v>43042</v>
      </c>
      <c r="B1553" s="158">
        <v>14274.97</v>
      </c>
      <c r="C1553"/>
      <c r="D1553" s="160"/>
    </row>
    <row r="1554" spans="1:4" x14ac:dyDescent="0.3">
      <c r="A1554" s="157">
        <v>43041</v>
      </c>
      <c r="B1554" s="158">
        <v>14232.79</v>
      </c>
      <c r="C1554"/>
      <c r="D1554" s="160"/>
    </row>
    <row r="1555" spans="1:4" x14ac:dyDescent="0.3">
      <c r="A1555" s="157">
        <v>43040</v>
      </c>
      <c r="B1555" s="158">
        <v>14255.58</v>
      </c>
      <c r="C1555"/>
      <c r="D1555" s="160"/>
    </row>
    <row r="1556" spans="1:4" x14ac:dyDescent="0.3">
      <c r="A1556" s="157">
        <v>43039</v>
      </c>
      <c r="B1556" s="158">
        <v>14108.55</v>
      </c>
      <c r="C1556"/>
      <c r="D1556" s="160"/>
    </row>
    <row r="1557" spans="1:4" x14ac:dyDescent="0.3">
      <c r="A1557" s="157">
        <v>43038</v>
      </c>
      <c r="B1557" s="158">
        <v>14137.62</v>
      </c>
      <c r="C1557"/>
      <c r="D1557" s="160"/>
    </row>
    <row r="1558" spans="1:4" x14ac:dyDescent="0.3">
      <c r="A1558" s="157">
        <v>43035</v>
      </c>
      <c r="B1558" s="158">
        <v>14082.21</v>
      </c>
      <c r="C1558"/>
      <c r="D1558" s="160"/>
    </row>
    <row r="1559" spans="1:4" x14ac:dyDescent="0.3">
      <c r="A1559" s="157">
        <v>43034</v>
      </c>
      <c r="B1559" s="158">
        <v>14110.5</v>
      </c>
      <c r="C1559"/>
      <c r="D1559" s="160"/>
    </row>
    <row r="1560" spans="1:4" x14ac:dyDescent="0.3">
      <c r="A1560" s="157">
        <v>43033</v>
      </c>
      <c r="B1560" s="158">
        <v>14044.44</v>
      </c>
      <c r="C1560"/>
      <c r="D1560" s="160"/>
    </row>
    <row r="1561" spans="1:4" x14ac:dyDescent="0.3">
      <c r="A1561" s="157">
        <v>43032</v>
      </c>
      <c r="B1561" s="158">
        <v>13923.61</v>
      </c>
      <c r="C1561"/>
      <c r="D1561" s="160"/>
    </row>
    <row r="1562" spans="1:4" x14ac:dyDescent="0.3">
      <c r="A1562" s="157">
        <v>43031</v>
      </c>
      <c r="B1562" s="158">
        <v>13892.48</v>
      </c>
      <c r="C1562"/>
      <c r="D1562" s="160"/>
    </row>
    <row r="1563" spans="1:4" x14ac:dyDescent="0.3">
      <c r="A1563" s="157">
        <v>43027</v>
      </c>
      <c r="B1563" s="158">
        <v>13840.24</v>
      </c>
      <c r="C1563"/>
      <c r="D1563" s="160"/>
    </row>
    <row r="1564" spans="1:4" x14ac:dyDescent="0.3">
      <c r="A1564" s="157">
        <v>43026</v>
      </c>
      <c r="B1564" s="158">
        <v>13927.92</v>
      </c>
      <c r="C1564"/>
      <c r="D1564" s="160"/>
    </row>
    <row r="1565" spans="1:4" x14ac:dyDescent="0.3">
      <c r="A1565" s="157">
        <v>43025</v>
      </c>
      <c r="B1565" s="158">
        <v>13960.09</v>
      </c>
      <c r="C1565"/>
      <c r="D1565" s="160"/>
    </row>
    <row r="1566" spans="1:4" x14ac:dyDescent="0.3">
      <c r="A1566" s="157">
        <v>43024</v>
      </c>
      <c r="B1566" s="158">
        <v>13955.22</v>
      </c>
      <c r="C1566"/>
      <c r="D1566" s="160"/>
    </row>
    <row r="1567" spans="1:4" x14ac:dyDescent="0.3">
      <c r="A1567" s="157">
        <v>43021</v>
      </c>
      <c r="B1567" s="158">
        <v>13868.7</v>
      </c>
      <c r="C1567"/>
      <c r="D1567" s="160"/>
    </row>
    <row r="1568" spans="1:4" x14ac:dyDescent="0.3">
      <c r="A1568" s="157">
        <v>43020</v>
      </c>
      <c r="B1568" s="158">
        <v>13771.84</v>
      </c>
      <c r="C1568"/>
      <c r="D1568" s="160"/>
    </row>
    <row r="1569" spans="1:4" x14ac:dyDescent="0.3">
      <c r="A1569" s="157">
        <v>43019</v>
      </c>
      <c r="B1569" s="158">
        <v>13619.62</v>
      </c>
      <c r="C1569"/>
      <c r="D1569" s="160"/>
    </row>
    <row r="1570" spans="1:4" x14ac:dyDescent="0.3">
      <c r="A1570" s="157">
        <v>43018</v>
      </c>
      <c r="B1570" s="158">
        <v>13663.44</v>
      </c>
      <c r="C1570"/>
      <c r="D1570" s="160"/>
    </row>
    <row r="1571" spans="1:4" x14ac:dyDescent="0.3">
      <c r="A1571" s="157">
        <v>43017</v>
      </c>
      <c r="B1571" s="158">
        <v>13625</v>
      </c>
      <c r="C1571"/>
      <c r="D1571" s="160"/>
    </row>
    <row r="1572" spans="1:4" x14ac:dyDescent="0.3">
      <c r="A1572" s="157">
        <v>43014</v>
      </c>
      <c r="B1572" s="158">
        <v>13612.63</v>
      </c>
      <c r="C1572"/>
      <c r="D1572" s="160"/>
    </row>
    <row r="1573" spans="1:4" x14ac:dyDescent="0.3">
      <c r="A1573" s="157">
        <v>43013</v>
      </c>
      <c r="B1573" s="158">
        <v>13488.48</v>
      </c>
      <c r="C1573"/>
      <c r="D1573" s="160"/>
    </row>
    <row r="1574" spans="1:4" x14ac:dyDescent="0.3">
      <c r="A1574" s="157">
        <v>43012</v>
      </c>
      <c r="B1574" s="158">
        <v>13524.27</v>
      </c>
      <c r="C1574"/>
      <c r="D1574" s="160"/>
    </row>
    <row r="1575" spans="1:4" x14ac:dyDescent="0.3">
      <c r="A1575" s="157">
        <v>43011</v>
      </c>
      <c r="B1575" s="158">
        <v>13448.66</v>
      </c>
      <c r="C1575"/>
      <c r="D1575" s="160"/>
    </row>
    <row r="1576" spans="1:4" x14ac:dyDescent="0.3">
      <c r="A1576" s="157">
        <v>43007</v>
      </c>
      <c r="B1576" s="158">
        <v>13351.99</v>
      </c>
      <c r="C1576"/>
      <c r="D1576" s="160"/>
    </row>
    <row r="1577" spans="1:4" x14ac:dyDescent="0.3">
      <c r="A1577" s="157">
        <v>43006</v>
      </c>
      <c r="B1577" s="158">
        <v>13325.16</v>
      </c>
      <c r="C1577"/>
      <c r="D1577" s="160"/>
    </row>
    <row r="1578" spans="1:4" x14ac:dyDescent="0.3">
      <c r="A1578" s="157">
        <v>43005</v>
      </c>
      <c r="B1578" s="158">
        <v>13279.85</v>
      </c>
      <c r="C1578"/>
      <c r="D1578" s="160"/>
    </row>
    <row r="1579" spans="1:4" x14ac:dyDescent="0.3">
      <c r="A1579" s="157">
        <v>43004</v>
      </c>
      <c r="B1579" s="158">
        <v>13465.07</v>
      </c>
      <c r="C1579"/>
      <c r="D1579" s="160"/>
    </row>
    <row r="1580" spans="1:4" x14ac:dyDescent="0.3">
      <c r="A1580" s="157">
        <v>43003</v>
      </c>
      <c r="B1580" s="158">
        <v>13466.53</v>
      </c>
      <c r="C1580"/>
      <c r="D1580" s="160"/>
    </row>
    <row r="1581" spans="1:4" x14ac:dyDescent="0.3">
      <c r="A1581" s="157">
        <v>43000</v>
      </c>
      <c r="B1581" s="158">
        <v>13591.79</v>
      </c>
      <c r="C1581"/>
      <c r="D1581" s="160"/>
    </row>
    <row r="1582" spans="1:4" x14ac:dyDescent="0.3">
      <c r="A1582" s="157">
        <v>42999</v>
      </c>
      <c r="B1582" s="158">
        <v>13806.6</v>
      </c>
      <c r="C1582"/>
      <c r="D1582" s="160"/>
    </row>
    <row r="1583" spans="1:4" x14ac:dyDescent="0.3">
      <c r="A1583" s="157">
        <v>42998</v>
      </c>
      <c r="B1583" s="158">
        <v>13832.04</v>
      </c>
      <c r="C1583"/>
      <c r="D1583" s="160"/>
    </row>
    <row r="1584" spans="1:4" x14ac:dyDescent="0.3">
      <c r="A1584" s="157">
        <v>42997</v>
      </c>
      <c r="B1584" s="158">
        <v>13840.78</v>
      </c>
      <c r="C1584"/>
      <c r="D1584" s="160"/>
    </row>
    <row r="1585" spans="1:4" x14ac:dyDescent="0.3">
      <c r="A1585" s="157">
        <v>42996</v>
      </c>
      <c r="B1585" s="158">
        <v>13848.34</v>
      </c>
      <c r="C1585"/>
      <c r="D1585" s="160"/>
    </row>
    <row r="1586" spans="1:4" x14ac:dyDescent="0.3">
      <c r="A1586" s="157">
        <v>42993</v>
      </c>
      <c r="B1586" s="158">
        <v>13754.62</v>
      </c>
      <c r="C1586"/>
      <c r="D1586" s="160"/>
    </row>
    <row r="1587" spans="1:4" x14ac:dyDescent="0.3">
      <c r="A1587" s="157">
        <v>42992</v>
      </c>
      <c r="B1587" s="158">
        <v>13756.28</v>
      </c>
      <c r="C1587"/>
      <c r="D1587" s="160"/>
    </row>
    <row r="1588" spans="1:4" x14ac:dyDescent="0.3">
      <c r="A1588" s="157">
        <v>42991</v>
      </c>
      <c r="B1588" s="158">
        <v>13746.3</v>
      </c>
      <c r="C1588"/>
      <c r="D1588" s="160"/>
    </row>
    <row r="1589" spans="1:4" x14ac:dyDescent="0.3">
      <c r="A1589" s="157">
        <v>42990</v>
      </c>
      <c r="B1589" s="158">
        <v>13765.03</v>
      </c>
      <c r="C1589"/>
      <c r="D1589" s="160"/>
    </row>
    <row r="1590" spans="1:4" x14ac:dyDescent="0.3">
      <c r="A1590" s="157">
        <v>42989</v>
      </c>
      <c r="B1590" s="158">
        <v>13646.37</v>
      </c>
      <c r="C1590"/>
      <c r="D1590" s="160"/>
    </row>
    <row r="1591" spans="1:4" x14ac:dyDescent="0.3">
      <c r="A1591" s="157">
        <v>42986</v>
      </c>
      <c r="B1591" s="158">
        <v>13546.57</v>
      </c>
      <c r="C1591"/>
      <c r="D1591" s="160"/>
    </row>
    <row r="1592" spans="1:4" x14ac:dyDescent="0.3">
      <c r="A1592" s="157">
        <v>42985</v>
      </c>
      <c r="B1592" s="158">
        <v>13539.91</v>
      </c>
      <c r="C1592"/>
      <c r="D1592" s="160"/>
    </row>
    <row r="1593" spans="1:4" x14ac:dyDescent="0.3">
      <c r="A1593" s="157">
        <v>42984</v>
      </c>
      <c r="B1593" s="158">
        <v>13519.3</v>
      </c>
      <c r="C1593"/>
      <c r="D1593" s="160"/>
    </row>
    <row r="1594" spans="1:4" x14ac:dyDescent="0.3">
      <c r="A1594" s="157">
        <v>42983</v>
      </c>
      <c r="B1594" s="158">
        <v>13568.38</v>
      </c>
      <c r="C1594"/>
      <c r="D1594" s="160"/>
    </row>
    <row r="1595" spans="1:4" x14ac:dyDescent="0.3">
      <c r="A1595" s="157">
        <v>42982</v>
      </c>
      <c r="B1595" s="158">
        <v>13514.16</v>
      </c>
      <c r="C1595"/>
      <c r="D1595" s="160"/>
    </row>
    <row r="1596" spans="1:4" x14ac:dyDescent="0.3">
      <c r="A1596" s="157">
        <v>42979</v>
      </c>
      <c r="B1596" s="158">
        <v>13598.09</v>
      </c>
      <c r="C1596"/>
      <c r="D1596" s="160"/>
    </row>
    <row r="1597" spans="1:4" x14ac:dyDescent="0.3">
      <c r="A1597" s="157">
        <v>42978</v>
      </c>
      <c r="B1597" s="158">
        <v>13521.03</v>
      </c>
      <c r="C1597"/>
      <c r="D1597" s="160"/>
    </row>
    <row r="1598" spans="1:4" x14ac:dyDescent="0.3">
      <c r="A1598" s="157">
        <v>42977</v>
      </c>
      <c r="B1598" s="158">
        <v>13474.73</v>
      </c>
      <c r="C1598"/>
      <c r="D1598" s="160"/>
    </row>
    <row r="1599" spans="1:4" x14ac:dyDescent="0.3">
      <c r="A1599" s="157">
        <v>42976</v>
      </c>
      <c r="B1599" s="158">
        <v>13354.29</v>
      </c>
      <c r="C1599"/>
      <c r="D1599" s="160"/>
    </row>
    <row r="1600" spans="1:4" x14ac:dyDescent="0.3">
      <c r="A1600" s="157">
        <v>42975</v>
      </c>
      <c r="B1600" s="158">
        <v>13513.48</v>
      </c>
      <c r="C1600"/>
      <c r="D1600" s="160"/>
    </row>
    <row r="1601" spans="1:4" x14ac:dyDescent="0.3">
      <c r="A1601" s="157">
        <v>42971</v>
      </c>
      <c r="B1601" s="158">
        <v>13437.45</v>
      </c>
      <c r="C1601"/>
      <c r="D1601" s="160"/>
    </row>
    <row r="1602" spans="1:4" x14ac:dyDescent="0.3">
      <c r="A1602" s="157">
        <v>42970</v>
      </c>
      <c r="B1602" s="158">
        <v>13427.67</v>
      </c>
      <c r="C1602"/>
      <c r="D1602" s="160"/>
    </row>
    <row r="1603" spans="1:4" x14ac:dyDescent="0.3">
      <c r="A1603" s="157">
        <v>42969</v>
      </c>
      <c r="B1603" s="158">
        <v>13309.14</v>
      </c>
      <c r="C1603"/>
      <c r="D1603" s="160"/>
    </row>
    <row r="1604" spans="1:4" x14ac:dyDescent="0.3">
      <c r="A1604" s="157">
        <v>42968</v>
      </c>
      <c r="B1604" s="158">
        <v>13293.88</v>
      </c>
      <c r="C1604"/>
      <c r="D1604" s="160"/>
    </row>
    <row r="1605" spans="1:4" x14ac:dyDescent="0.3">
      <c r="A1605" s="157">
        <v>42965</v>
      </c>
      <c r="B1605" s="158">
        <v>13407.07</v>
      </c>
      <c r="C1605"/>
      <c r="D1605" s="160"/>
    </row>
    <row r="1606" spans="1:4" x14ac:dyDescent="0.3">
      <c r="A1606" s="157">
        <v>42964</v>
      </c>
      <c r="B1606" s="158">
        <v>13497.69</v>
      </c>
      <c r="C1606"/>
      <c r="D1606" s="160"/>
    </row>
    <row r="1607" spans="1:4" x14ac:dyDescent="0.3">
      <c r="A1607" s="157">
        <v>42963</v>
      </c>
      <c r="B1607" s="158">
        <v>13488.33</v>
      </c>
      <c r="C1607"/>
      <c r="D1607" s="160"/>
    </row>
    <row r="1608" spans="1:4" x14ac:dyDescent="0.3">
      <c r="A1608" s="157">
        <v>42961</v>
      </c>
      <c r="B1608" s="158">
        <v>13347.75</v>
      </c>
      <c r="C1608"/>
      <c r="D1608" s="160"/>
    </row>
    <row r="1609" spans="1:4" x14ac:dyDescent="0.3">
      <c r="A1609" s="157">
        <v>42958</v>
      </c>
      <c r="B1609" s="158">
        <v>13234.2</v>
      </c>
      <c r="C1609"/>
      <c r="D1609" s="160"/>
    </row>
    <row r="1610" spans="1:4" x14ac:dyDescent="0.3">
      <c r="A1610" s="157">
        <v>42957</v>
      </c>
      <c r="B1610" s="158">
        <v>13377.05</v>
      </c>
      <c r="C1610"/>
      <c r="D1610" s="160"/>
    </row>
    <row r="1611" spans="1:4" x14ac:dyDescent="0.3">
      <c r="A1611" s="157">
        <v>42956</v>
      </c>
      <c r="B1611" s="158">
        <v>13495.81</v>
      </c>
      <c r="C1611"/>
      <c r="D1611" s="160"/>
    </row>
    <row r="1612" spans="1:4" x14ac:dyDescent="0.3">
      <c r="A1612" s="157">
        <v>42955</v>
      </c>
      <c r="B1612" s="158">
        <v>13591.81</v>
      </c>
      <c r="C1612"/>
      <c r="D1612" s="160"/>
    </row>
    <row r="1613" spans="1:4" x14ac:dyDescent="0.3">
      <c r="A1613" s="157">
        <v>42954</v>
      </c>
      <c r="B1613" s="158">
        <v>13699.21</v>
      </c>
      <c r="C1613"/>
      <c r="D1613" s="160"/>
    </row>
    <row r="1614" spans="1:4" x14ac:dyDescent="0.3">
      <c r="A1614" s="157">
        <v>42951</v>
      </c>
      <c r="B1614" s="158">
        <v>13711.47</v>
      </c>
      <c r="C1614"/>
      <c r="D1614" s="160"/>
    </row>
    <row r="1615" spans="1:4" x14ac:dyDescent="0.3">
      <c r="A1615" s="157">
        <v>42950</v>
      </c>
      <c r="B1615" s="158">
        <v>13639.66</v>
      </c>
      <c r="C1615"/>
      <c r="D1615" s="160"/>
    </row>
    <row r="1616" spans="1:4" x14ac:dyDescent="0.3">
      <c r="A1616" s="157">
        <v>42949</v>
      </c>
      <c r="B1616" s="158">
        <v>13731.63</v>
      </c>
      <c r="C1616"/>
      <c r="D1616" s="160"/>
    </row>
    <row r="1617" spans="1:4" x14ac:dyDescent="0.3">
      <c r="A1617" s="157">
        <v>42948</v>
      </c>
      <c r="B1617" s="158">
        <v>13775.33</v>
      </c>
      <c r="C1617"/>
      <c r="D1617" s="160"/>
    </row>
    <row r="1618" spans="1:4" x14ac:dyDescent="0.3">
      <c r="A1618" s="157">
        <v>42947</v>
      </c>
      <c r="B1618" s="158">
        <v>13724.19</v>
      </c>
      <c r="C1618"/>
      <c r="D1618" s="160"/>
    </row>
    <row r="1619" spans="1:4" x14ac:dyDescent="0.3">
      <c r="A1619" s="157">
        <v>42944</v>
      </c>
      <c r="B1619" s="158">
        <v>13638.1</v>
      </c>
      <c r="C1619"/>
      <c r="D1619" s="160"/>
    </row>
    <row r="1620" spans="1:4" x14ac:dyDescent="0.3">
      <c r="A1620" s="157">
        <v>42943</v>
      </c>
      <c r="B1620" s="158">
        <v>13646.34</v>
      </c>
      <c r="C1620"/>
      <c r="D1620" s="160"/>
    </row>
    <row r="1621" spans="1:4" x14ac:dyDescent="0.3">
      <c r="A1621" s="157">
        <v>42942</v>
      </c>
      <c r="B1621" s="158">
        <v>13644.46</v>
      </c>
      <c r="C1621"/>
      <c r="D1621" s="160"/>
    </row>
    <row r="1622" spans="1:4" x14ac:dyDescent="0.3">
      <c r="A1622" s="157">
        <v>42941</v>
      </c>
      <c r="B1622" s="158">
        <v>13567.66</v>
      </c>
      <c r="C1622"/>
      <c r="D1622" s="160"/>
    </row>
    <row r="1623" spans="1:4" x14ac:dyDescent="0.3">
      <c r="A1623" s="157">
        <v>42940</v>
      </c>
      <c r="B1623" s="158">
        <v>13569.88</v>
      </c>
      <c r="C1623"/>
      <c r="D1623" s="160"/>
    </row>
    <row r="1624" spans="1:4" x14ac:dyDescent="0.3">
      <c r="A1624" s="157">
        <v>42937</v>
      </c>
      <c r="B1624" s="158">
        <v>13498.25</v>
      </c>
      <c r="C1624"/>
      <c r="D1624" s="160"/>
    </row>
    <row r="1625" spans="1:4" x14ac:dyDescent="0.3">
      <c r="A1625" s="157">
        <v>42936</v>
      </c>
      <c r="B1625" s="158">
        <v>13441.11</v>
      </c>
      <c r="C1625"/>
      <c r="D1625" s="160"/>
    </row>
    <row r="1626" spans="1:4" x14ac:dyDescent="0.3">
      <c r="A1626" s="157">
        <v>42935</v>
      </c>
      <c r="B1626" s="158">
        <v>13473.52</v>
      </c>
      <c r="C1626"/>
      <c r="D1626" s="160"/>
    </row>
    <row r="1627" spans="1:4" x14ac:dyDescent="0.3">
      <c r="A1627" s="157">
        <v>42934</v>
      </c>
      <c r="B1627" s="158">
        <v>13374.92</v>
      </c>
      <c r="C1627"/>
      <c r="D1627" s="160"/>
    </row>
    <row r="1628" spans="1:4" x14ac:dyDescent="0.3">
      <c r="A1628" s="157">
        <v>42933</v>
      </c>
      <c r="B1628" s="158">
        <v>13494.64</v>
      </c>
      <c r="C1628"/>
      <c r="D1628" s="160"/>
    </row>
    <row r="1629" spans="1:4" x14ac:dyDescent="0.3">
      <c r="A1629" s="157">
        <v>42930</v>
      </c>
      <c r="B1629" s="158">
        <v>13453.49</v>
      </c>
      <c r="C1629"/>
      <c r="D1629" s="160"/>
    </row>
    <row r="1630" spans="1:4" x14ac:dyDescent="0.3">
      <c r="A1630" s="157">
        <v>42929</v>
      </c>
      <c r="B1630" s="158">
        <v>13452.22</v>
      </c>
      <c r="C1630"/>
      <c r="D1630" s="160"/>
    </row>
    <row r="1631" spans="1:4" x14ac:dyDescent="0.3">
      <c r="A1631" s="157">
        <v>42928</v>
      </c>
      <c r="B1631" s="158">
        <v>13340.24</v>
      </c>
      <c r="C1631"/>
      <c r="D1631" s="160"/>
    </row>
    <row r="1632" spans="1:4" x14ac:dyDescent="0.3">
      <c r="A1632" s="157">
        <v>42927</v>
      </c>
      <c r="B1632" s="158">
        <v>13299.17</v>
      </c>
      <c r="C1632"/>
      <c r="D1632" s="160"/>
    </row>
    <row r="1633" spans="1:4" x14ac:dyDescent="0.3">
      <c r="A1633" s="157">
        <v>42926</v>
      </c>
      <c r="B1633" s="158">
        <v>13278.81</v>
      </c>
      <c r="C1633"/>
      <c r="D1633" s="160"/>
    </row>
    <row r="1634" spans="1:4" x14ac:dyDescent="0.3">
      <c r="A1634" s="157">
        <v>42923</v>
      </c>
      <c r="B1634" s="158">
        <v>13135.35</v>
      </c>
      <c r="C1634"/>
      <c r="D1634" s="160"/>
    </row>
    <row r="1635" spans="1:4" x14ac:dyDescent="0.3">
      <c r="A1635" s="157">
        <v>42922</v>
      </c>
      <c r="B1635" s="158">
        <v>13147.27</v>
      </c>
      <c r="C1635"/>
      <c r="D1635" s="160"/>
    </row>
    <row r="1636" spans="1:4" x14ac:dyDescent="0.3">
      <c r="A1636" s="157">
        <v>42921</v>
      </c>
      <c r="B1636" s="158">
        <v>13091.36</v>
      </c>
      <c r="C1636"/>
      <c r="D1636" s="160"/>
    </row>
    <row r="1637" spans="1:4" x14ac:dyDescent="0.3">
      <c r="A1637" s="157">
        <v>42920</v>
      </c>
      <c r="B1637" s="158">
        <v>13057.86</v>
      </c>
      <c r="C1637"/>
      <c r="D1637" s="160"/>
    </row>
    <row r="1638" spans="1:4" x14ac:dyDescent="0.3">
      <c r="A1638" s="157">
        <v>42919</v>
      </c>
      <c r="B1638" s="158">
        <v>13060.15</v>
      </c>
      <c r="C1638"/>
      <c r="D1638" s="160"/>
    </row>
    <row r="1639" spans="1:4" x14ac:dyDescent="0.3">
      <c r="A1639" s="157">
        <v>42916</v>
      </c>
      <c r="B1639" s="158">
        <v>12932.33</v>
      </c>
      <c r="C1639"/>
      <c r="D1639" s="160"/>
    </row>
    <row r="1640" spans="1:4" x14ac:dyDescent="0.3">
      <c r="A1640" s="157">
        <v>42915</v>
      </c>
      <c r="B1640" s="158">
        <v>12908.13</v>
      </c>
      <c r="C1640"/>
      <c r="D1640" s="160"/>
    </row>
    <row r="1641" spans="1:4" x14ac:dyDescent="0.3">
      <c r="A1641" s="157">
        <v>42914</v>
      </c>
      <c r="B1641" s="158">
        <v>12882.7</v>
      </c>
      <c r="C1641"/>
      <c r="D1641" s="160"/>
    </row>
    <row r="1642" spans="1:4" x14ac:dyDescent="0.3">
      <c r="A1642" s="157">
        <v>42913</v>
      </c>
      <c r="B1642" s="158">
        <v>12910.01</v>
      </c>
      <c r="C1642"/>
      <c r="D1642" s="160"/>
    </row>
    <row r="1643" spans="1:4" x14ac:dyDescent="0.3">
      <c r="A1643" s="157">
        <v>42909</v>
      </c>
      <c r="B1643" s="158">
        <v>12996.3</v>
      </c>
      <c r="C1643"/>
      <c r="D1643" s="160"/>
    </row>
    <row r="1644" spans="1:4" x14ac:dyDescent="0.3">
      <c r="A1644" s="157">
        <v>42908</v>
      </c>
      <c r="B1644" s="158">
        <v>13070.98</v>
      </c>
      <c r="C1644"/>
      <c r="D1644" s="160"/>
    </row>
    <row r="1645" spans="1:4" x14ac:dyDescent="0.3">
      <c r="A1645" s="157">
        <v>42907</v>
      </c>
      <c r="B1645" s="158">
        <v>13072.91</v>
      </c>
      <c r="C1645"/>
      <c r="D1645" s="160"/>
    </row>
    <row r="1646" spans="1:4" x14ac:dyDescent="0.3">
      <c r="A1646" s="157">
        <v>42906</v>
      </c>
      <c r="B1646" s="158">
        <v>13099.92</v>
      </c>
      <c r="C1646"/>
      <c r="D1646" s="160"/>
    </row>
    <row r="1647" spans="1:4" x14ac:dyDescent="0.3">
      <c r="A1647" s="157">
        <v>42905</v>
      </c>
      <c r="B1647" s="158">
        <v>13100.15</v>
      </c>
      <c r="C1647"/>
      <c r="D1647" s="160"/>
    </row>
    <row r="1648" spans="1:4" x14ac:dyDescent="0.3">
      <c r="A1648" s="157">
        <v>42902</v>
      </c>
      <c r="B1648" s="158">
        <v>13005.86</v>
      </c>
      <c r="C1648"/>
      <c r="D1648" s="160"/>
    </row>
    <row r="1649" spans="1:4" x14ac:dyDescent="0.3">
      <c r="A1649" s="157">
        <v>42901</v>
      </c>
      <c r="B1649" s="158">
        <v>12992.34</v>
      </c>
      <c r="C1649"/>
      <c r="D1649" s="160"/>
    </row>
    <row r="1650" spans="1:4" x14ac:dyDescent="0.3">
      <c r="A1650" s="157">
        <v>42900</v>
      </c>
      <c r="B1650" s="158">
        <v>13045.44</v>
      </c>
      <c r="C1650"/>
      <c r="D1650" s="160"/>
    </row>
    <row r="1651" spans="1:4" x14ac:dyDescent="0.3">
      <c r="A1651" s="157">
        <v>42899</v>
      </c>
      <c r="B1651" s="158">
        <v>13030.22</v>
      </c>
      <c r="C1651"/>
      <c r="D1651" s="160"/>
    </row>
    <row r="1652" spans="1:4" x14ac:dyDescent="0.3">
      <c r="A1652" s="157">
        <v>42898</v>
      </c>
      <c r="B1652" s="158">
        <v>13037.83</v>
      </c>
      <c r="C1652"/>
      <c r="D1652" s="160"/>
    </row>
    <row r="1653" spans="1:4" x14ac:dyDescent="0.3">
      <c r="A1653" s="157">
        <v>42895</v>
      </c>
      <c r="B1653" s="158">
        <v>13108.12</v>
      </c>
      <c r="C1653"/>
      <c r="D1653" s="160"/>
    </row>
    <row r="1654" spans="1:4" x14ac:dyDescent="0.3">
      <c r="A1654" s="157">
        <v>42894</v>
      </c>
      <c r="B1654" s="158">
        <v>13079.63</v>
      </c>
      <c r="C1654"/>
      <c r="D1654" s="160"/>
    </row>
    <row r="1655" spans="1:4" x14ac:dyDescent="0.3">
      <c r="A1655" s="157">
        <v>42893</v>
      </c>
      <c r="B1655" s="158">
        <v>13101.62</v>
      </c>
      <c r="C1655"/>
      <c r="D1655" s="160"/>
    </row>
    <row r="1656" spans="1:4" x14ac:dyDescent="0.3">
      <c r="A1656" s="157">
        <v>42892</v>
      </c>
      <c r="B1656" s="158">
        <v>13065.33</v>
      </c>
      <c r="C1656"/>
      <c r="D1656" s="160"/>
    </row>
    <row r="1657" spans="1:4" x14ac:dyDescent="0.3">
      <c r="A1657" s="157">
        <v>42891</v>
      </c>
      <c r="B1657" s="158">
        <v>13116.78</v>
      </c>
      <c r="C1657"/>
      <c r="D1657" s="160"/>
    </row>
    <row r="1658" spans="1:4" x14ac:dyDescent="0.3">
      <c r="A1658" s="157">
        <v>42888</v>
      </c>
      <c r="B1658" s="158">
        <v>13072.98</v>
      </c>
      <c r="C1658"/>
      <c r="D1658" s="160"/>
    </row>
    <row r="1659" spans="1:4" x14ac:dyDescent="0.3">
      <c r="A1659" s="157">
        <v>42887</v>
      </c>
      <c r="B1659" s="158">
        <v>13022.35</v>
      </c>
      <c r="C1659"/>
      <c r="D1659" s="160"/>
    </row>
    <row r="1660" spans="1:4" x14ac:dyDescent="0.3">
      <c r="A1660" s="157">
        <v>42886</v>
      </c>
      <c r="B1660" s="158">
        <v>13018.69</v>
      </c>
      <c r="C1660"/>
      <c r="D1660" s="160"/>
    </row>
    <row r="1661" spans="1:4" x14ac:dyDescent="0.3">
      <c r="A1661" s="157">
        <v>42885</v>
      </c>
      <c r="B1661" s="158">
        <v>13023.19</v>
      </c>
      <c r="C1661"/>
      <c r="D1661" s="160"/>
    </row>
    <row r="1662" spans="1:4" x14ac:dyDescent="0.3">
      <c r="A1662" s="157">
        <v>42884</v>
      </c>
      <c r="B1662" s="158">
        <v>12996.61</v>
      </c>
      <c r="C1662"/>
      <c r="D1662" s="160"/>
    </row>
    <row r="1663" spans="1:4" x14ac:dyDescent="0.3">
      <c r="A1663" s="157">
        <v>42881</v>
      </c>
      <c r="B1663" s="158">
        <v>12981.79</v>
      </c>
      <c r="C1663"/>
      <c r="D1663" s="160"/>
    </row>
    <row r="1664" spans="1:4" x14ac:dyDescent="0.3">
      <c r="A1664" s="157">
        <v>42880</v>
      </c>
      <c r="B1664" s="158">
        <v>12863.38</v>
      </c>
      <c r="C1664"/>
      <c r="D1664" s="160"/>
    </row>
    <row r="1665" spans="1:4" x14ac:dyDescent="0.3">
      <c r="A1665" s="157">
        <v>42879</v>
      </c>
      <c r="B1665" s="158">
        <v>12661.62</v>
      </c>
      <c r="C1665"/>
      <c r="D1665" s="160"/>
    </row>
    <row r="1666" spans="1:4" x14ac:dyDescent="0.3">
      <c r="A1666" s="157">
        <v>42878</v>
      </c>
      <c r="B1666" s="158">
        <v>12695.02</v>
      </c>
      <c r="C1666"/>
      <c r="D1666" s="160"/>
    </row>
    <row r="1667" spans="1:4" x14ac:dyDescent="0.3">
      <c r="A1667" s="157">
        <v>42877</v>
      </c>
      <c r="B1667" s="158">
        <v>12765.48</v>
      </c>
      <c r="C1667"/>
      <c r="D1667" s="160"/>
    </row>
    <row r="1668" spans="1:4" x14ac:dyDescent="0.3">
      <c r="A1668" s="157">
        <v>42874</v>
      </c>
      <c r="B1668" s="158">
        <v>12751.43</v>
      </c>
      <c r="C1668"/>
      <c r="D1668" s="160"/>
    </row>
    <row r="1669" spans="1:4" x14ac:dyDescent="0.3">
      <c r="A1669" s="157">
        <v>42873</v>
      </c>
      <c r="B1669" s="158">
        <v>12753.55</v>
      </c>
      <c r="C1669"/>
      <c r="D1669" s="160"/>
    </row>
    <row r="1670" spans="1:4" x14ac:dyDescent="0.3">
      <c r="A1670" s="157">
        <v>42872</v>
      </c>
      <c r="B1670" s="158">
        <v>12883.83</v>
      </c>
      <c r="C1670"/>
      <c r="D1670" s="160"/>
    </row>
    <row r="1671" spans="1:4" x14ac:dyDescent="0.3">
      <c r="A1671" s="157">
        <v>42871</v>
      </c>
      <c r="B1671" s="158">
        <v>12865.56</v>
      </c>
      <c r="C1671"/>
      <c r="D1671" s="160"/>
    </row>
    <row r="1672" spans="1:4" x14ac:dyDescent="0.3">
      <c r="A1672" s="157">
        <v>42870</v>
      </c>
      <c r="B1672" s="158">
        <v>12775.11</v>
      </c>
      <c r="C1672"/>
      <c r="D1672" s="160"/>
    </row>
    <row r="1673" spans="1:4" x14ac:dyDescent="0.3">
      <c r="A1673" s="157">
        <v>42867</v>
      </c>
      <c r="B1673" s="158">
        <v>12714.97</v>
      </c>
      <c r="C1673"/>
      <c r="D1673" s="160"/>
    </row>
    <row r="1674" spans="1:4" x14ac:dyDescent="0.3">
      <c r="A1674" s="157">
        <v>42866</v>
      </c>
      <c r="B1674" s="158">
        <v>12743.99</v>
      </c>
      <c r="C1674"/>
      <c r="D1674" s="160"/>
    </row>
    <row r="1675" spans="1:4" x14ac:dyDescent="0.3">
      <c r="A1675" s="157">
        <v>42865</v>
      </c>
      <c r="B1675" s="158">
        <v>12723.6</v>
      </c>
      <c r="C1675"/>
      <c r="D1675" s="160"/>
    </row>
    <row r="1676" spans="1:4" x14ac:dyDescent="0.3">
      <c r="A1676" s="157">
        <v>42864</v>
      </c>
      <c r="B1676" s="158">
        <v>12601.23</v>
      </c>
      <c r="C1676"/>
      <c r="D1676" s="160"/>
    </row>
    <row r="1677" spans="1:4" x14ac:dyDescent="0.3">
      <c r="A1677" s="157">
        <v>42863</v>
      </c>
      <c r="B1677" s="158">
        <v>12597.5</v>
      </c>
      <c r="C1677"/>
      <c r="D1677" s="160"/>
    </row>
    <row r="1678" spans="1:4" x14ac:dyDescent="0.3">
      <c r="A1678" s="157">
        <v>42860</v>
      </c>
      <c r="B1678" s="158">
        <v>12558.6</v>
      </c>
      <c r="C1678"/>
      <c r="D1678" s="160"/>
    </row>
    <row r="1679" spans="1:4" x14ac:dyDescent="0.3">
      <c r="A1679" s="157">
        <v>42859</v>
      </c>
      <c r="B1679" s="158">
        <v>12659.51</v>
      </c>
      <c r="C1679"/>
      <c r="D1679" s="160"/>
    </row>
    <row r="1680" spans="1:4" x14ac:dyDescent="0.3">
      <c r="A1680" s="157">
        <v>42858</v>
      </c>
      <c r="B1680" s="158">
        <v>12593.58</v>
      </c>
      <c r="C1680"/>
      <c r="D1680" s="160"/>
    </row>
    <row r="1681" spans="1:4" x14ac:dyDescent="0.3">
      <c r="A1681" s="157">
        <v>42857</v>
      </c>
      <c r="B1681" s="158">
        <v>12596.08</v>
      </c>
      <c r="C1681"/>
      <c r="D1681" s="160"/>
    </row>
    <row r="1682" spans="1:4" x14ac:dyDescent="0.3">
      <c r="A1682" s="157">
        <v>42853</v>
      </c>
      <c r="B1682" s="158">
        <v>12582.88</v>
      </c>
      <c r="C1682"/>
      <c r="D1682" s="160"/>
    </row>
    <row r="1683" spans="1:4" x14ac:dyDescent="0.3">
      <c r="A1683" s="157">
        <v>42852</v>
      </c>
      <c r="B1683" s="158">
        <v>12634.41</v>
      </c>
      <c r="C1683"/>
      <c r="D1683" s="160"/>
    </row>
    <row r="1684" spans="1:4" x14ac:dyDescent="0.3">
      <c r="A1684" s="157">
        <v>42851</v>
      </c>
      <c r="B1684" s="158">
        <v>12647.53</v>
      </c>
      <c r="C1684"/>
      <c r="D1684" s="160"/>
    </row>
    <row r="1685" spans="1:4" x14ac:dyDescent="0.3">
      <c r="A1685" s="157">
        <v>42850</v>
      </c>
      <c r="B1685" s="158">
        <v>12586.34</v>
      </c>
      <c r="C1685"/>
      <c r="D1685" s="160"/>
    </row>
    <row r="1686" spans="1:4" x14ac:dyDescent="0.3">
      <c r="A1686" s="157">
        <v>42849</v>
      </c>
      <c r="B1686" s="158">
        <v>12466.46</v>
      </c>
      <c r="C1686"/>
      <c r="D1686" s="160"/>
    </row>
    <row r="1687" spans="1:4" x14ac:dyDescent="0.3">
      <c r="A1687" s="157">
        <v>42846</v>
      </c>
      <c r="B1687" s="158">
        <v>12333.17</v>
      </c>
      <c r="C1687"/>
      <c r="D1687" s="160"/>
    </row>
    <row r="1688" spans="1:4" x14ac:dyDescent="0.3">
      <c r="A1688" s="157">
        <v>42845</v>
      </c>
      <c r="B1688" s="158">
        <v>12356.2</v>
      </c>
      <c r="C1688"/>
      <c r="D1688" s="160"/>
    </row>
    <row r="1689" spans="1:4" x14ac:dyDescent="0.3">
      <c r="A1689" s="157">
        <v>42844</v>
      </c>
      <c r="B1689" s="158">
        <v>12311.67</v>
      </c>
      <c r="C1689"/>
      <c r="D1689" s="160"/>
    </row>
    <row r="1690" spans="1:4" x14ac:dyDescent="0.3">
      <c r="A1690" s="157">
        <v>42843</v>
      </c>
      <c r="B1690" s="158">
        <v>12313.9</v>
      </c>
      <c r="C1690"/>
      <c r="D1690" s="160"/>
    </row>
    <row r="1691" spans="1:4" x14ac:dyDescent="0.3">
      <c r="A1691" s="157">
        <v>42842</v>
      </c>
      <c r="B1691" s="158">
        <v>12360.11</v>
      </c>
      <c r="C1691"/>
      <c r="D1691" s="160"/>
    </row>
    <row r="1692" spans="1:4" x14ac:dyDescent="0.3">
      <c r="A1692" s="157">
        <v>42838</v>
      </c>
      <c r="B1692" s="158">
        <v>12375.68</v>
      </c>
      <c r="C1692"/>
      <c r="D1692" s="160"/>
    </row>
    <row r="1693" spans="1:4" x14ac:dyDescent="0.3">
      <c r="A1693" s="157">
        <v>42837</v>
      </c>
      <c r="B1693" s="158">
        <v>12446.84</v>
      </c>
      <c r="C1693"/>
      <c r="D1693" s="160"/>
    </row>
    <row r="1694" spans="1:4" x14ac:dyDescent="0.3">
      <c r="A1694" s="157">
        <v>42836</v>
      </c>
      <c r="B1694" s="158">
        <v>12492.24</v>
      </c>
      <c r="C1694"/>
      <c r="D1694" s="160"/>
    </row>
    <row r="1695" spans="1:4" x14ac:dyDescent="0.3">
      <c r="A1695" s="157">
        <v>42835</v>
      </c>
      <c r="B1695" s="158">
        <v>12417.07</v>
      </c>
      <c r="C1695"/>
      <c r="D1695" s="160"/>
    </row>
    <row r="1696" spans="1:4" x14ac:dyDescent="0.3">
      <c r="A1696" s="157">
        <v>42832</v>
      </c>
      <c r="B1696" s="158">
        <v>12439.9</v>
      </c>
      <c r="C1696"/>
      <c r="D1696" s="160"/>
    </row>
    <row r="1697" spans="1:4" x14ac:dyDescent="0.3">
      <c r="A1697" s="157">
        <v>42831</v>
      </c>
      <c r="B1697" s="158">
        <v>12525.97</v>
      </c>
      <c r="C1697"/>
      <c r="D1697" s="160"/>
    </row>
    <row r="1698" spans="1:4" x14ac:dyDescent="0.3">
      <c r="A1698" s="157">
        <v>42830</v>
      </c>
      <c r="B1698" s="158">
        <v>12530.31</v>
      </c>
      <c r="C1698"/>
      <c r="D1698" s="160"/>
    </row>
    <row r="1699" spans="1:4" x14ac:dyDescent="0.3">
      <c r="A1699" s="157">
        <v>42828</v>
      </c>
      <c r="B1699" s="158">
        <v>12493.39</v>
      </c>
      <c r="C1699"/>
      <c r="D1699" s="160"/>
    </row>
    <row r="1700" spans="1:4" x14ac:dyDescent="0.3">
      <c r="A1700" s="157">
        <v>42825</v>
      </c>
      <c r="B1700" s="158">
        <v>12406.69</v>
      </c>
      <c r="C1700"/>
      <c r="D1700" s="160"/>
    </row>
    <row r="1701" spans="1:4" x14ac:dyDescent="0.3">
      <c r="A1701" s="157">
        <v>42824</v>
      </c>
      <c r="B1701" s="158">
        <v>12404.41</v>
      </c>
      <c r="C1701"/>
      <c r="D1701" s="160"/>
    </row>
    <row r="1702" spans="1:4" x14ac:dyDescent="0.3">
      <c r="A1702" s="157">
        <v>42823</v>
      </c>
      <c r="B1702" s="158">
        <v>12363.95</v>
      </c>
      <c r="C1702"/>
      <c r="D1702" s="160"/>
    </row>
    <row r="1703" spans="1:4" x14ac:dyDescent="0.3">
      <c r="A1703" s="157">
        <v>42822</v>
      </c>
      <c r="B1703" s="158">
        <v>12305.77</v>
      </c>
      <c r="C1703"/>
      <c r="D1703" s="160"/>
    </row>
    <row r="1704" spans="1:4" x14ac:dyDescent="0.3">
      <c r="A1704" s="157">
        <v>42821</v>
      </c>
      <c r="B1704" s="158">
        <v>12230.63</v>
      </c>
      <c r="C1704"/>
      <c r="D1704" s="160"/>
    </row>
    <row r="1705" spans="1:4" x14ac:dyDescent="0.3">
      <c r="A1705" s="157">
        <v>42818</v>
      </c>
      <c r="B1705" s="158">
        <v>12314.98</v>
      </c>
      <c r="C1705"/>
      <c r="D1705" s="160"/>
    </row>
    <row r="1706" spans="1:4" x14ac:dyDescent="0.3">
      <c r="A1706" s="157">
        <v>42817</v>
      </c>
      <c r="B1706" s="158">
        <v>12283.35</v>
      </c>
      <c r="C1706"/>
      <c r="D1706" s="160"/>
    </row>
    <row r="1707" spans="1:4" x14ac:dyDescent="0.3">
      <c r="A1707" s="157">
        <v>42816</v>
      </c>
      <c r="B1707" s="158">
        <v>12207.85</v>
      </c>
      <c r="C1707"/>
      <c r="D1707" s="160"/>
    </row>
    <row r="1708" spans="1:4" x14ac:dyDescent="0.3">
      <c r="A1708" s="157">
        <v>42815</v>
      </c>
      <c r="B1708" s="158">
        <v>12330.92</v>
      </c>
      <c r="C1708"/>
      <c r="D1708" s="160"/>
    </row>
    <row r="1709" spans="1:4" x14ac:dyDescent="0.3">
      <c r="A1709" s="157">
        <v>42814</v>
      </c>
      <c r="B1709" s="158">
        <v>12338.14</v>
      </c>
      <c r="C1709"/>
      <c r="D1709" s="160"/>
    </row>
    <row r="1710" spans="1:4" x14ac:dyDescent="0.3">
      <c r="A1710" s="157">
        <v>42811</v>
      </c>
      <c r="B1710" s="158">
        <v>12383.04</v>
      </c>
      <c r="C1710"/>
      <c r="D1710" s="160"/>
    </row>
    <row r="1711" spans="1:4" x14ac:dyDescent="0.3">
      <c r="A1711" s="157">
        <v>42810</v>
      </c>
      <c r="B1711" s="158">
        <v>12374.48</v>
      </c>
      <c r="C1711"/>
      <c r="D1711" s="160"/>
    </row>
    <row r="1712" spans="1:4" x14ac:dyDescent="0.3">
      <c r="A1712" s="157">
        <v>42809</v>
      </c>
      <c r="B1712" s="158">
        <v>12278.23</v>
      </c>
      <c r="C1712"/>
      <c r="D1712" s="160"/>
    </row>
    <row r="1713" spans="1:4" x14ac:dyDescent="0.3">
      <c r="A1713" s="157">
        <v>42808</v>
      </c>
      <c r="B1713" s="158">
        <v>12281.22</v>
      </c>
      <c r="C1713"/>
      <c r="D1713" s="160"/>
    </row>
    <row r="1714" spans="1:4" x14ac:dyDescent="0.3">
      <c r="A1714" s="157">
        <v>42804</v>
      </c>
      <c r="B1714" s="158">
        <v>12066.4</v>
      </c>
      <c r="C1714"/>
      <c r="D1714" s="160"/>
    </row>
    <row r="1715" spans="1:4" x14ac:dyDescent="0.3">
      <c r="A1715" s="157">
        <v>42803</v>
      </c>
      <c r="B1715" s="158">
        <v>12056.17</v>
      </c>
      <c r="C1715"/>
      <c r="D1715" s="160"/>
    </row>
    <row r="1716" spans="1:4" x14ac:dyDescent="0.3">
      <c r="A1716" s="157">
        <v>42802</v>
      </c>
      <c r="B1716" s="158">
        <v>12050.77</v>
      </c>
      <c r="C1716"/>
      <c r="D1716" s="160"/>
    </row>
    <row r="1717" spans="1:4" x14ac:dyDescent="0.3">
      <c r="A1717" s="157">
        <v>42801</v>
      </c>
      <c r="B1717" s="158">
        <v>12081.34</v>
      </c>
      <c r="C1717"/>
      <c r="D1717" s="160"/>
    </row>
    <row r="1718" spans="1:4" x14ac:dyDescent="0.3">
      <c r="A1718" s="157">
        <v>42800</v>
      </c>
      <c r="B1718" s="158">
        <v>12103.68</v>
      </c>
      <c r="C1718"/>
      <c r="D1718" s="160"/>
    </row>
    <row r="1719" spans="1:4" x14ac:dyDescent="0.3">
      <c r="A1719" s="157">
        <v>42797</v>
      </c>
      <c r="B1719" s="158">
        <v>12014.7</v>
      </c>
      <c r="C1719"/>
      <c r="D1719" s="160"/>
    </row>
    <row r="1720" spans="1:4" x14ac:dyDescent="0.3">
      <c r="A1720" s="157">
        <v>42796</v>
      </c>
      <c r="B1720" s="158">
        <v>12017.63</v>
      </c>
      <c r="C1720"/>
      <c r="D1720" s="160"/>
    </row>
    <row r="1721" spans="1:4" x14ac:dyDescent="0.3">
      <c r="A1721" s="157">
        <v>42795</v>
      </c>
      <c r="B1721" s="158">
        <v>12079.8</v>
      </c>
      <c r="C1721"/>
      <c r="D1721" s="160"/>
    </row>
    <row r="1722" spans="1:4" x14ac:dyDescent="0.3">
      <c r="A1722" s="157">
        <v>42794</v>
      </c>
      <c r="B1722" s="158">
        <v>11990.44</v>
      </c>
      <c r="C1722"/>
      <c r="D1722" s="160"/>
    </row>
    <row r="1723" spans="1:4" x14ac:dyDescent="0.3">
      <c r="A1723" s="157">
        <v>42793</v>
      </c>
      <c r="B1723" s="158">
        <v>12009.8</v>
      </c>
      <c r="C1723"/>
      <c r="D1723" s="160"/>
    </row>
    <row r="1724" spans="1:4" x14ac:dyDescent="0.3">
      <c r="A1724" s="157">
        <v>42789</v>
      </c>
      <c r="B1724" s="158">
        <v>12067.61</v>
      </c>
      <c r="C1724"/>
      <c r="D1724" s="160"/>
    </row>
    <row r="1725" spans="1:4" x14ac:dyDescent="0.3">
      <c r="A1725" s="157">
        <v>42788</v>
      </c>
      <c r="B1725" s="158">
        <v>12050.54</v>
      </c>
      <c r="C1725"/>
      <c r="D1725" s="160"/>
    </row>
    <row r="1726" spans="1:4" x14ac:dyDescent="0.3">
      <c r="A1726" s="157">
        <v>42787</v>
      </c>
      <c r="B1726" s="158">
        <v>12024.88</v>
      </c>
      <c r="C1726"/>
      <c r="D1726" s="160"/>
    </row>
    <row r="1727" spans="1:4" x14ac:dyDescent="0.3">
      <c r="A1727" s="157">
        <v>42786</v>
      </c>
      <c r="B1727" s="158">
        <v>11986.21</v>
      </c>
      <c r="C1727"/>
      <c r="D1727" s="160"/>
    </row>
    <row r="1728" spans="1:4" x14ac:dyDescent="0.3">
      <c r="A1728" s="157">
        <v>42783</v>
      </c>
      <c r="B1728" s="158">
        <v>11908.56</v>
      </c>
      <c r="C1728"/>
      <c r="D1728" s="160"/>
    </row>
    <row r="1729" spans="1:4" x14ac:dyDescent="0.3">
      <c r="A1729" s="157">
        <v>42782</v>
      </c>
      <c r="B1729" s="158">
        <v>11849.55</v>
      </c>
      <c r="C1729"/>
      <c r="D1729" s="160"/>
    </row>
    <row r="1730" spans="1:4" x14ac:dyDescent="0.3">
      <c r="A1730" s="157">
        <v>42781</v>
      </c>
      <c r="B1730" s="158">
        <v>11776.57</v>
      </c>
      <c r="C1730"/>
      <c r="D1730" s="160"/>
    </row>
    <row r="1731" spans="1:4" x14ac:dyDescent="0.3">
      <c r="A1731" s="157">
        <v>42780</v>
      </c>
      <c r="B1731" s="158">
        <v>11865.43</v>
      </c>
      <c r="C1731"/>
      <c r="D1731" s="160"/>
    </row>
    <row r="1732" spans="1:4" x14ac:dyDescent="0.3">
      <c r="A1732" s="157">
        <v>42779</v>
      </c>
      <c r="B1732" s="158">
        <v>11882.38</v>
      </c>
      <c r="C1732"/>
      <c r="D1732" s="160"/>
    </row>
    <row r="1733" spans="1:4" x14ac:dyDescent="0.3">
      <c r="A1733" s="157">
        <v>42776</v>
      </c>
      <c r="B1733" s="158">
        <v>11866.82</v>
      </c>
      <c r="C1733"/>
      <c r="D1733" s="160"/>
    </row>
    <row r="1734" spans="1:4" x14ac:dyDescent="0.3">
      <c r="A1734" s="157">
        <v>42775</v>
      </c>
      <c r="B1734" s="158">
        <v>11846.42</v>
      </c>
      <c r="C1734"/>
      <c r="D1734" s="160"/>
    </row>
    <row r="1735" spans="1:4" x14ac:dyDescent="0.3">
      <c r="A1735" s="157">
        <v>42774</v>
      </c>
      <c r="B1735" s="158">
        <v>11833.8</v>
      </c>
      <c r="C1735"/>
      <c r="D1735" s="160"/>
    </row>
    <row r="1736" spans="1:4" x14ac:dyDescent="0.3">
      <c r="A1736" s="157">
        <v>42773</v>
      </c>
      <c r="B1736" s="158">
        <v>11832.78</v>
      </c>
      <c r="C1736"/>
      <c r="D1736" s="160"/>
    </row>
    <row r="1737" spans="1:4" x14ac:dyDescent="0.3">
      <c r="A1737" s="157">
        <v>42772</v>
      </c>
      <c r="B1737" s="158">
        <v>11874.73</v>
      </c>
      <c r="C1737"/>
      <c r="D1737" s="160"/>
    </row>
    <row r="1738" spans="1:4" x14ac:dyDescent="0.3">
      <c r="A1738" s="157">
        <v>42769</v>
      </c>
      <c r="B1738" s="158">
        <v>11793.62</v>
      </c>
      <c r="C1738"/>
      <c r="D1738" s="160"/>
    </row>
    <row r="1739" spans="1:4" x14ac:dyDescent="0.3">
      <c r="A1739" s="157">
        <v>42768</v>
      </c>
      <c r="B1739" s="158">
        <v>11784.61</v>
      </c>
      <c r="C1739"/>
      <c r="D1739" s="160"/>
    </row>
    <row r="1740" spans="1:4" x14ac:dyDescent="0.3">
      <c r="A1740" s="157">
        <v>42767</v>
      </c>
      <c r="B1740" s="158">
        <v>11758.63</v>
      </c>
      <c r="C1740"/>
      <c r="D1740" s="160"/>
    </row>
    <row r="1741" spans="1:4" x14ac:dyDescent="0.3">
      <c r="A1741" s="157">
        <v>42766</v>
      </c>
      <c r="B1741" s="158">
        <v>11548.15</v>
      </c>
      <c r="C1741"/>
      <c r="D1741" s="160"/>
    </row>
    <row r="1742" spans="1:4" x14ac:dyDescent="0.3">
      <c r="A1742" s="157">
        <v>42765</v>
      </c>
      <c r="B1742" s="158">
        <v>11644.53</v>
      </c>
      <c r="C1742"/>
      <c r="D1742" s="160"/>
    </row>
    <row r="1743" spans="1:4" x14ac:dyDescent="0.3">
      <c r="A1743" s="157">
        <v>42762</v>
      </c>
      <c r="B1743" s="158">
        <v>11656</v>
      </c>
      <c r="C1743"/>
      <c r="D1743" s="160"/>
    </row>
    <row r="1744" spans="1:4" x14ac:dyDescent="0.3">
      <c r="A1744" s="157">
        <v>42760</v>
      </c>
      <c r="B1744" s="158">
        <v>11604.09</v>
      </c>
      <c r="C1744"/>
      <c r="D1744" s="160"/>
    </row>
    <row r="1745" spans="1:4" x14ac:dyDescent="0.3">
      <c r="A1745" s="157">
        <v>42759</v>
      </c>
      <c r="B1745" s="158">
        <v>11432.83</v>
      </c>
      <c r="C1745"/>
      <c r="D1745" s="160"/>
    </row>
    <row r="1746" spans="1:4" x14ac:dyDescent="0.3">
      <c r="A1746" s="157">
        <v>42758</v>
      </c>
      <c r="B1746" s="158">
        <v>11319.09</v>
      </c>
      <c r="C1746"/>
      <c r="D1746" s="160"/>
    </row>
    <row r="1747" spans="1:4" x14ac:dyDescent="0.3">
      <c r="A1747" s="157">
        <v>42755</v>
      </c>
      <c r="B1747" s="158">
        <v>11260.99</v>
      </c>
      <c r="C1747"/>
      <c r="D1747" s="160"/>
    </row>
    <row r="1748" spans="1:4" x14ac:dyDescent="0.3">
      <c r="A1748" s="157">
        <v>42754</v>
      </c>
      <c r="B1748" s="158">
        <v>11376.62</v>
      </c>
      <c r="C1748"/>
      <c r="D1748" s="160"/>
    </row>
    <row r="1749" spans="1:4" x14ac:dyDescent="0.3">
      <c r="A1749" s="157">
        <v>42753</v>
      </c>
      <c r="B1749" s="158">
        <v>11352.22</v>
      </c>
      <c r="C1749"/>
      <c r="D1749" s="160"/>
    </row>
    <row r="1750" spans="1:4" x14ac:dyDescent="0.3">
      <c r="A1750" s="157">
        <v>42752</v>
      </c>
      <c r="B1750" s="158">
        <v>11326.62</v>
      </c>
      <c r="C1750"/>
      <c r="D1750" s="160"/>
    </row>
    <row r="1751" spans="1:4" x14ac:dyDescent="0.3">
      <c r="A1751" s="157">
        <v>42751</v>
      </c>
      <c r="B1751" s="158">
        <v>11346.57</v>
      </c>
      <c r="C1751"/>
      <c r="D1751" s="160"/>
    </row>
    <row r="1752" spans="1:4" x14ac:dyDescent="0.3">
      <c r="A1752" s="157">
        <v>42748</v>
      </c>
      <c r="B1752" s="158">
        <v>11329.78</v>
      </c>
      <c r="C1752"/>
      <c r="D1752" s="160"/>
    </row>
    <row r="1753" spans="1:4" x14ac:dyDescent="0.3">
      <c r="A1753" s="157">
        <v>42747</v>
      </c>
      <c r="B1753" s="158">
        <v>11339.04</v>
      </c>
      <c r="C1753"/>
      <c r="D1753" s="160"/>
    </row>
    <row r="1754" spans="1:4" x14ac:dyDescent="0.3">
      <c r="A1754" s="157">
        <v>42746</v>
      </c>
      <c r="B1754" s="158">
        <v>11303.19</v>
      </c>
      <c r="C1754"/>
      <c r="D1754" s="160"/>
    </row>
    <row r="1755" spans="1:4" x14ac:dyDescent="0.3">
      <c r="A1755" s="157">
        <v>42745</v>
      </c>
      <c r="B1755" s="158">
        <v>11179.04</v>
      </c>
      <c r="C1755"/>
      <c r="D1755" s="160"/>
    </row>
    <row r="1756" spans="1:4" x14ac:dyDescent="0.3">
      <c r="A1756" s="157">
        <v>42744</v>
      </c>
      <c r="B1756" s="158">
        <v>11108.2</v>
      </c>
      <c r="C1756"/>
      <c r="D1756" s="160"/>
    </row>
    <row r="1757" spans="1:4" x14ac:dyDescent="0.3">
      <c r="A1757" s="157">
        <v>42741</v>
      </c>
      <c r="B1757" s="158">
        <v>11118.62</v>
      </c>
      <c r="C1757"/>
      <c r="D1757" s="160"/>
    </row>
    <row r="1758" spans="1:4" x14ac:dyDescent="0.3">
      <c r="A1758" s="157">
        <v>42740</v>
      </c>
      <c r="B1758" s="158">
        <v>11159.12</v>
      </c>
      <c r="C1758"/>
      <c r="D1758" s="160"/>
    </row>
    <row r="1759" spans="1:4" x14ac:dyDescent="0.3">
      <c r="A1759" s="157">
        <v>42739</v>
      </c>
      <c r="B1759" s="158">
        <v>11046.76</v>
      </c>
      <c r="C1759"/>
      <c r="D1759" s="160"/>
    </row>
    <row r="1760" spans="1:4" x14ac:dyDescent="0.3">
      <c r="A1760" s="157">
        <v>42738</v>
      </c>
      <c r="B1760" s="158">
        <v>11049.08</v>
      </c>
      <c r="C1760"/>
      <c r="D1760" s="160"/>
    </row>
    <row r="1761" spans="1:4" x14ac:dyDescent="0.3">
      <c r="A1761" s="157">
        <v>42737</v>
      </c>
      <c r="B1761" s="158">
        <v>11031.91</v>
      </c>
      <c r="C1761"/>
      <c r="D1761" s="160"/>
    </row>
    <row r="1762" spans="1:4" x14ac:dyDescent="0.3">
      <c r="A1762" s="157">
        <v>42734</v>
      </c>
      <c r="B1762" s="158">
        <v>11040.41</v>
      </c>
      <c r="C1762"/>
      <c r="D1762" s="160"/>
    </row>
    <row r="1763" spans="1:4" x14ac:dyDescent="0.3">
      <c r="A1763" s="157">
        <v>42733</v>
      </c>
      <c r="B1763" s="158">
        <v>10929.53</v>
      </c>
      <c r="C1763"/>
      <c r="D1763" s="160"/>
    </row>
    <row r="1764" spans="1:4" x14ac:dyDescent="0.3">
      <c r="A1764" s="157">
        <v>42732</v>
      </c>
      <c r="B1764" s="158">
        <v>10836.85</v>
      </c>
      <c r="C1764"/>
      <c r="D1764" s="160"/>
    </row>
    <row r="1765" spans="1:4" x14ac:dyDescent="0.3">
      <c r="A1765" s="157">
        <v>42731</v>
      </c>
      <c r="B1765" s="158">
        <v>10834.12</v>
      </c>
      <c r="C1765"/>
      <c r="D1765" s="160"/>
    </row>
    <row r="1766" spans="1:4" x14ac:dyDescent="0.3">
      <c r="A1766" s="157">
        <v>42730</v>
      </c>
      <c r="B1766" s="158">
        <v>10666.06</v>
      </c>
      <c r="C1766"/>
      <c r="D1766" s="160"/>
    </row>
    <row r="1767" spans="1:4" x14ac:dyDescent="0.3">
      <c r="A1767" s="157">
        <v>42727</v>
      </c>
      <c r="B1767" s="158">
        <v>10770.6</v>
      </c>
      <c r="C1767"/>
      <c r="D1767" s="160"/>
    </row>
    <row r="1768" spans="1:4" x14ac:dyDescent="0.3">
      <c r="A1768" s="157">
        <v>42726</v>
      </c>
      <c r="B1768" s="158">
        <v>10761.65</v>
      </c>
      <c r="C1768"/>
      <c r="D1768" s="160"/>
    </row>
    <row r="1769" spans="1:4" x14ac:dyDescent="0.3">
      <c r="A1769" s="157">
        <v>42725</v>
      </c>
      <c r="B1769" s="158">
        <v>10872.49</v>
      </c>
      <c r="C1769"/>
      <c r="D1769" s="160"/>
    </row>
    <row r="1770" spans="1:4" x14ac:dyDescent="0.3">
      <c r="A1770" s="157">
        <v>42724</v>
      </c>
      <c r="B1770" s="158">
        <v>10900.96</v>
      </c>
      <c r="C1770"/>
      <c r="D1770" s="160"/>
    </row>
    <row r="1771" spans="1:4" x14ac:dyDescent="0.3">
      <c r="A1771" s="157">
        <v>42723</v>
      </c>
      <c r="B1771" s="158">
        <v>10930.55</v>
      </c>
      <c r="C1771"/>
      <c r="D1771" s="160"/>
    </row>
    <row r="1772" spans="1:4" x14ac:dyDescent="0.3">
      <c r="A1772" s="157">
        <v>42720</v>
      </c>
      <c r="B1772" s="158">
        <v>10977.91</v>
      </c>
      <c r="C1772"/>
      <c r="D1772" s="160"/>
    </row>
    <row r="1773" spans="1:4" x14ac:dyDescent="0.3">
      <c r="A1773" s="157">
        <v>42719</v>
      </c>
      <c r="B1773" s="158">
        <v>10997.01</v>
      </c>
      <c r="C1773"/>
      <c r="D1773" s="160"/>
    </row>
    <row r="1774" spans="1:4" x14ac:dyDescent="0.3">
      <c r="A1774" s="157">
        <v>42718</v>
      </c>
      <c r="B1774" s="158">
        <v>11035.88</v>
      </c>
      <c r="C1774"/>
      <c r="D1774" s="160"/>
    </row>
    <row r="1775" spans="1:4" x14ac:dyDescent="0.3">
      <c r="A1775" s="157">
        <v>42717</v>
      </c>
      <c r="B1775" s="158">
        <v>11088.99</v>
      </c>
      <c r="C1775"/>
      <c r="D1775" s="160"/>
    </row>
    <row r="1776" spans="1:4" x14ac:dyDescent="0.3">
      <c r="A1776" s="157">
        <v>42716</v>
      </c>
      <c r="B1776" s="158">
        <v>11020.15</v>
      </c>
      <c r="C1776"/>
      <c r="D1776" s="160"/>
    </row>
    <row r="1777" spans="1:4" x14ac:dyDescent="0.3">
      <c r="A1777" s="157">
        <v>42713</v>
      </c>
      <c r="B1777" s="158">
        <v>11142.82</v>
      </c>
      <c r="C1777"/>
      <c r="D1777" s="160"/>
    </row>
    <row r="1778" spans="1:4" x14ac:dyDescent="0.3">
      <c r="A1778" s="157">
        <v>42712</v>
      </c>
      <c r="B1778" s="158">
        <v>11122.75</v>
      </c>
      <c r="C1778"/>
      <c r="D1778" s="160"/>
    </row>
    <row r="1779" spans="1:4" x14ac:dyDescent="0.3">
      <c r="A1779" s="157">
        <v>42711</v>
      </c>
      <c r="B1779" s="158">
        <v>10927.43</v>
      </c>
      <c r="C1779"/>
      <c r="D1779" s="160"/>
    </row>
    <row r="1780" spans="1:4" x14ac:dyDescent="0.3">
      <c r="A1780" s="157">
        <v>42710</v>
      </c>
      <c r="B1780" s="158">
        <v>10982.89</v>
      </c>
      <c r="C1780"/>
      <c r="D1780" s="160"/>
    </row>
    <row r="1781" spans="1:4" x14ac:dyDescent="0.3">
      <c r="A1781" s="157">
        <v>42709</v>
      </c>
      <c r="B1781" s="158">
        <v>10963.49</v>
      </c>
      <c r="C1781"/>
      <c r="D1781" s="160"/>
    </row>
    <row r="1782" spans="1:4" x14ac:dyDescent="0.3">
      <c r="A1782" s="157">
        <v>42706</v>
      </c>
      <c r="B1782" s="158">
        <v>10906.86</v>
      </c>
      <c r="C1782"/>
      <c r="D1782" s="160"/>
    </row>
    <row r="1783" spans="1:4" x14ac:dyDescent="0.3">
      <c r="A1783" s="157">
        <v>42705</v>
      </c>
      <c r="B1783" s="158">
        <v>11050</v>
      </c>
      <c r="C1783"/>
      <c r="D1783" s="160"/>
    </row>
    <row r="1784" spans="1:4" x14ac:dyDescent="0.3">
      <c r="A1784" s="157">
        <v>42704</v>
      </c>
      <c r="B1784" s="158">
        <v>11092.59</v>
      </c>
      <c r="C1784"/>
      <c r="D1784" s="160"/>
    </row>
    <row r="1785" spans="1:4" x14ac:dyDescent="0.3">
      <c r="A1785" s="157">
        <v>42703</v>
      </c>
      <c r="B1785" s="158">
        <v>10981.54</v>
      </c>
      <c r="C1785"/>
      <c r="D1785" s="160"/>
    </row>
    <row r="1786" spans="1:4" x14ac:dyDescent="0.3">
      <c r="A1786" s="157">
        <v>42702</v>
      </c>
      <c r="B1786" s="158">
        <v>10960.97</v>
      </c>
      <c r="C1786"/>
      <c r="D1786" s="160"/>
    </row>
    <row r="1787" spans="1:4" x14ac:dyDescent="0.3">
      <c r="A1787" s="157">
        <v>42699</v>
      </c>
      <c r="B1787" s="158">
        <v>10943.99</v>
      </c>
      <c r="C1787"/>
      <c r="D1787" s="160"/>
    </row>
    <row r="1788" spans="1:4" x14ac:dyDescent="0.3">
      <c r="A1788" s="157">
        <v>42698</v>
      </c>
      <c r="B1788" s="158">
        <v>10743.28</v>
      </c>
      <c r="C1788"/>
      <c r="D1788" s="160"/>
    </row>
    <row r="1789" spans="1:4" x14ac:dyDescent="0.3">
      <c r="A1789" s="157">
        <v>42697</v>
      </c>
      <c r="B1789" s="158">
        <v>10834.59</v>
      </c>
      <c r="C1789"/>
      <c r="D1789" s="160"/>
    </row>
    <row r="1790" spans="1:4" x14ac:dyDescent="0.3">
      <c r="A1790" s="157">
        <v>42696</v>
      </c>
      <c r="B1790" s="158">
        <v>10792.82</v>
      </c>
      <c r="C1790"/>
      <c r="D1790" s="160"/>
    </row>
    <row r="1791" spans="1:4" x14ac:dyDescent="0.3">
      <c r="A1791" s="157">
        <v>42695</v>
      </c>
      <c r="B1791" s="158">
        <v>10694.09</v>
      </c>
      <c r="C1791"/>
      <c r="D1791" s="160"/>
    </row>
    <row r="1792" spans="1:4" x14ac:dyDescent="0.3">
      <c r="A1792" s="157">
        <v>42692</v>
      </c>
      <c r="B1792" s="158">
        <v>10889.64</v>
      </c>
      <c r="C1792"/>
      <c r="D1792" s="160"/>
    </row>
    <row r="1793" spans="1:4" x14ac:dyDescent="0.3">
      <c r="A1793" s="157">
        <v>42691</v>
      </c>
      <c r="B1793" s="158">
        <v>10897.55</v>
      </c>
      <c r="C1793"/>
      <c r="D1793" s="160"/>
    </row>
    <row r="1794" spans="1:4" x14ac:dyDescent="0.3">
      <c r="A1794" s="157">
        <v>42690</v>
      </c>
      <c r="B1794" s="158">
        <v>10940.23</v>
      </c>
      <c r="C1794"/>
      <c r="D1794" s="160"/>
    </row>
    <row r="1795" spans="1:4" x14ac:dyDescent="0.3">
      <c r="A1795" s="157">
        <v>42689</v>
      </c>
      <c r="B1795" s="158">
        <v>10935.99</v>
      </c>
      <c r="C1795"/>
      <c r="D1795" s="160"/>
    </row>
    <row r="1796" spans="1:4" x14ac:dyDescent="0.3">
      <c r="A1796" s="157">
        <v>42685</v>
      </c>
      <c r="B1796" s="158">
        <v>11189.3</v>
      </c>
      <c r="C1796"/>
      <c r="D1796" s="160"/>
    </row>
    <row r="1797" spans="1:4" x14ac:dyDescent="0.3">
      <c r="A1797" s="157">
        <v>42684</v>
      </c>
      <c r="B1797" s="158">
        <v>11498.79</v>
      </c>
      <c r="C1797"/>
      <c r="D1797" s="160"/>
    </row>
    <row r="1798" spans="1:4" x14ac:dyDescent="0.3">
      <c r="A1798" s="157">
        <v>42683</v>
      </c>
      <c r="B1798" s="158">
        <v>11372.35</v>
      </c>
      <c r="C1798"/>
      <c r="D1798" s="160"/>
    </row>
    <row r="1799" spans="1:4" x14ac:dyDescent="0.3">
      <c r="A1799" s="157">
        <v>42682</v>
      </c>
      <c r="B1799" s="158">
        <v>11522.76</v>
      </c>
      <c r="C1799"/>
      <c r="D1799" s="160"/>
    </row>
    <row r="1800" spans="1:4" x14ac:dyDescent="0.3">
      <c r="A1800" s="157">
        <v>42681</v>
      </c>
      <c r="B1800" s="158">
        <v>11460.08</v>
      </c>
      <c r="C1800"/>
      <c r="D1800" s="160"/>
    </row>
    <row r="1801" spans="1:4" x14ac:dyDescent="0.3">
      <c r="A1801" s="157">
        <v>42678</v>
      </c>
      <c r="B1801" s="158">
        <v>11374.71</v>
      </c>
      <c r="C1801"/>
      <c r="D1801" s="160"/>
    </row>
    <row r="1802" spans="1:4" x14ac:dyDescent="0.3">
      <c r="A1802" s="157">
        <v>42677</v>
      </c>
      <c r="B1802" s="158">
        <v>11443.72</v>
      </c>
      <c r="C1802"/>
      <c r="D1802" s="160"/>
    </row>
    <row r="1803" spans="1:4" x14ac:dyDescent="0.3">
      <c r="A1803" s="157">
        <v>42676</v>
      </c>
      <c r="B1803" s="158">
        <v>11479.94</v>
      </c>
      <c r="C1803"/>
      <c r="D1803" s="160"/>
    </row>
    <row r="1804" spans="1:4" x14ac:dyDescent="0.3">
      <c r="A1804" s="157">
        <v>42675</v>
      </c>
      <c r="B1804" s="158">
        <v>11631.33</v>
      </c>
      <c r="C1804"/>
      <c r="D1804" s="160"/>
    </row>
    <row r="1805" spans="1:4" x14ac:dyDescent="0.3">
      <c r="A1805" s="157">
        <v>42673</v>
      </c>
      <c r="B1805" s="158">
        <v>11628.32</v>
      </c>
      <c r="C1805"/>
      <c r="D1805" s="160"/>
    </row>
    <row r="1806" spans="1:4" x14ac:dyDescent="0.3">
      <c r="A1806" s="157">
        <v>42671</v>
      </c>
      <c r="B1806" s="158">
        <v>11644.89</v>
      </c>
      <c r="C1806"/>
      <c r="D1806" s="160"/>
    </row>
    <row r="1807" spans="1:4" x14ac:dyDescent="0.3">
      <c r="A1807" s="157">
        <v>42670</v>
      </c>
      <c r="B1807" s="158">
        <v>11614.18</v>
      </c>
      <c r="C1807"/>
      <c r="D1807" s="160"/>
    </row>
    <row r="1808" spans="1:4" x14ac:dyDescent="0.3">
      <c r="A1808" s="157">
        <v>42669</v>
      </c>
      <c r="B1808" s="158">
        <v>11612.99</v>
      </c>
      <c r="C1808"/>
      <c r="D1808" s="160"/>
    </row>
    <row r="1809" spans="1:4" x14ac:dyDescent="0.3">
      <c r="A1809" s="157">
        <v>42668</v>
      </c>
      <c r="B1809" s="158">
        <v>11715.45</v>
      </c>
      <c r="C1809"/>
      <c r="D1809" s="160"/>
    </row>
    <row r="1810" spans="1:4" x14ac:dyDescent="0.3">
      <c r="A1810" s="157">
        <v>42667</v>
      </c>
      <c r="B1810" s="158">
        <v>11739.24</v>
      </c>
      <c r="C1810"/>
      <c r="D1810" s="160"/>
    </row>
    <row r="1811" spans="1:4" x14ac:dyDescent="0.3">
      <c r="A1811" s="157">
        <v>42664</v>
      </c>
      <c r="B1811" s="158">
        <v>11716.57</v>
      </c>
      <c r="C1811"/>
      <c r="D1811" s="160"/>
    </row>
    <row r="1812" spans="1:4" x14ac:dyDescent="0.3">
      <c r="A1812" s="157">
        <v>42663</v>
      </c>
      <c r="B1812" s="158">
        <v>11717.04</v>
      </c>
      <c r="C1812"/>
      <c r="D1812" s="160"/>
    </row>
    <row r="1813" spans="1:4" x14ac:dyDescent="0.3">
      <c r="A1813" s="157">
        <v>42662</v>
      </c>
      <c r="B1813" s="158">
        <v>11662.81</v>
      </c>
      <c r="C1813"/>
      <c r="D1813" s="160"/>
    </row>
    <row r="1814" spans="1:4" x14ac:dyDescent="0.3">
      <c r="A1814" s="157">
        <v>42661</v>
      </c>
      <c r="B1814" s="158">
        <v>11688.13</v>
      </c>
      <c r="C1814"/>
      <c r="D1814" s="160"/>
    </row>
    <row r="1815" spans="1:4" x14ac:dyDescent="0.3">
      <c r="A1815" s="157">
        <v>42660</v>
      </c>
      <c r="B1815" s="158">
        <v>11475.97</v>
      </c>
      <c r="C1815"/>
      <c r="D1815" s="160"/>
    </row>
    <row r="1816" spans="1:4" x14ac:dyDescent="0.3">
      <c r="A1816" s="157">
        <v>42657</v>
      </c>
      <c r="B1816" s="158">
        <v>11560.81</v>
      </c>
      <c r="C1816"/>
      <c r="D1816" s="160"/>
    </row>
    <row r="1817" spans="1:4" x14ac:dyDescent="0.3">
      <c r="A1817" s="157">
        <v>42656</v>
      </c>
      <c r="B1817" s="158">
        <v>11547.3</v>
      </c>
      <c r="C1817"/>
      <c r="D1817" s="160"/>
    </row>
    <row r="1818" spans="1:4" x14ac:dyDescent="0.3">
      <c r="A1818" s="157">
        <v>42653</v>
      </c>
      <c r="B1818" s="158">
        <v>11729.75</v>
      </c>
      <c r="C1818"/>
      <c r="D1818" s="160"/>
    </row>
    <row r="1819" spans="1:4" x14ac:dyDescent="0.3">
      <c r="A1819" s="157">
        <v>42650</v>
      </c>
      <c r="B1819" s="158">
        <v>11714.65</v>
      </c>
      <c r="C1819"/>
      <c r="D1819" s="160"/>
    </row>
    <row r="1820" spans="1:4" x14ac:dyDescent="0.3">
      <c r="A1820" s="157">
        <v>42649</v>
      </c>
      <c r="B1820" s="158">
        <v>11730.75</v>
      </c>
      <c r="C1820"/>
      <c r="D1820" s="160"/>
    </row>
    <row r="1821" spans="1:4" x14ac:dyDescent="0.3">
      <c r="A1821" s="157">
        <v>42648</v>
      </c>
      <c r="B1821" s="158">
        <v>11777.1</v>
      </c>
      <c r="C1821"/>
      <c r="D1821" s="160"/>
    </row>
    <row r="1822" spans="1:4" x14ac:dyDescent="0.3">
      <c r="A1822" s="157">
        <v>42647</v>
      </c>
      <c r="B1822" s="158">
        <v>11811.04</v>
      </c>
      <c r="C1822"/>
      <c r="D1822" s="160"/>
    </row>
    <row r="1823" spans="1:4" x14ac:dyDescent="0.3">
      <c r="A1823" s="157">
        <v>42646</v>
      </c>
      <c r="B1823" s="158">
        <v>11769.16</v>
      </c>
      <c r="C1823"/>
      <c r="D1823" s="160"/>
    </row>
    <row r="1824" spans="1:4" x14ac:dyDescent="0.3">
      <c r="A1824" s="157">
        <v>42643</v>
      </c>
      <c r="B1824" s="158">
        <v>11598.22</v>
      </c>
      <c r="C1824"/>
      <c r="D1824" s="160"/>
    </row>
    <row r="1825" spans="1:4" x14ac:dyDescent="0.3">
      <c r="A1825" s="157">
        <v>42642</v>
      </c>
      <c r="B1825" s="158">
        <v>11571.4</v>
      </c>
      <c r="C1825"/>
      <c r="D1825" s="160"/>
    </row>
    <row r="1826" spans="1:4" x14ac:dyDescent="0.3">
      <c r="A1826" s="157">
        <v>42641</v>
      </c>
      <c r="B1826" s="158">
        <v>11778.71</v>
      </c>
      <c r="C1826"/>
      <c r="D1826" s="160"/>
    </row>
    <row r="1827" spans="1:4" x14ac:dyDescent="0.3">
      <c r="A1827" s="157">
        <v>42640</v>
      </c>
      <c r="B1827" s="158">
        <v>11726.49</v>
      </c>
      <c r="C1827"/>
      <c r="D1827" s="160"/>
    </row>
    <row r="1828" spans="1:4" x14ac:dyDescent="0.3">
      <c r="A1828" s="157">
        <v>42639</v>
      </c>
      <c r="B1828" s="158">
        <v>11748.91</v>
      </c>
      <c r="C1828"/>
      <c r="D1828" s="160"/>
    </row>
    <row r="1829" spans="1:4" x14ac:dyDescent="0.3">
      <c r="A1829" s="157">
        <v>42636</v>
      </c>
      <c r="B1829" s="158">
        <v>11895.07</v>
      </c>
      <c r="C1829"/>
      <c r="D1829" s="160"/>
    </row>
    <row r="1830" spans="1:4" x14ac:dyDescent="0.3">
      <c r="A1830" s="157">
        <v>42635</v>
      </c>
      <c r="B1830" s="158">
        <v>11943.44</v>
      </c>
      <c r="C1830"/>
      <c r="D1830" s="160"/>
    </row>
    <row r="1831" spans="1:4" x14ac:dyDescent="0.3">
      <c r="A1831" s="157">
        <v>42634</v>
      </c>
      <c r="B1831" s="158">
        <v>11821.52</v>
      </c>
      <c r="C1831"/>
      <c r="D1831" s="160"/>
    </row>
    <row r="1832" spans="1:4" x14ac:dyDescent="0.3">
      <c r="A1832" s="157">
        <v>42633</v>
      </c>
      <c r="B1832" s="158">
        <v>11819.83</v>
      </c>
      <c r="C1832"/>
      <c r="D1832" s="160"/>
    </row>
    <row r="1833" spans="1:4" x14ac:dyDescent="0.3">
      <c r="A1833" s="157">
        <v>42632</v>
      </c>
      <c r="B1833" s="158">
        <v>11863.61</v>
      </c>
      <c r="C1833"/>
      <c r="D1833" s="160"/>
    </row>
    <row r="1834" spans="1:4" x14ac:dyDescent="0.3">
      <c r="A1834" s="157">
        <v>42629</v>
      </c>
      <c r="B1834" s="158">
        <v>11825.12</v>
      </c>
      <c r="C1834"/>
      <c r="D1834" s="160"/>
    </row>
    <row r="1835" spans="1:4" x14ac:dyDescent="0.3">
      <c r="A1835" s="157">
        <v>42628</v>
      </c>
      <c r="B1835" s="158">
        <v>11774.9</v>
      </c>
      <c r="C1835"/>
      <c r="D1835" s="160"/>
    </row>
    <row r="1836" spans="1:4" x14ac:dyDescent="0.3">
      <c r="A1836" s="157">
        <v>42627</v>
      </c>
      <c r="B1836" s="158">
        <v>11751.93</v>
      </c>
      <c r="C1836"/>
      <c r="D1836" s="160"/>
    </row>
    <row r="1837" spans="1:4" x14ac:dyDescent="0.3">
      <c r="A1837" s="157">
        <v>42625</v>
      </c>
      <c r="B1837" s="158">
        <v>11737</v>
      </c>
      <c r="C1837"/>
      <c r="D1837" s="160"/>
    </row>
    <row r="1838" spans="1:4" x14ac:dyDescent="0.3">
      <c r="A1838" s="157">
        <v>42622</v>
      </c>
      <c r="B1838" s="158">
        <v>11940.12</v>
      </c>
      <c r="C1838"/>
      <c r="D1838" s="160"/>
    </row>
    <row r="1839" spans="1:4" x14ac:dyDescent="0.3">
      <c r="A1839" s="157">
        <v>42621</v>
      </c>
      <c r="B1839" s="158">
        <v>12055.6</v>
      </c>
      <c r="C1839"/>
      <c r="D1839" s="160"/>
    </row>
    <row r="1840" spans="1:4" x14ac:dyDescent="0.3">
      <c r="A1840" s="157">
        <v>42620</v>
      </c>
      <c r="B1840" s="158">
        <v>12005.43</v>
      </c>
      <c r="C1840"/>
      <c r="D1840" s="160"/>
    </row>
    <row r="1841" spans="1:4" x14ac:dyDescent="0.3">
      <c r="A1841" s="157">
        <v>42619</v>
      </c>
      <c r="B1841" s="158">
        <v>12037.72</v>
      </c>
      <c r="C1841"/>
      <c r="D1841" s="160"/>
    </row>
    <row r="1842" spans="1:4" x14ac:dyDescent="0.3">
      <c r="A1842" s="157">
        <v>42615</v>
      </c>
      <c r="B1842" s="158">
        <v>11857.76</v>
      </c>
      <c r="C1842"/>
      <c r="D1842" s="160"/>
    </row>
    <row r="1843" spans="1:4" x14ac:dyDescent="0.3">
      <c r="A1843" s="157">
        <v>42614</v>
      </c>
      <c r="B1843" s="158">
        <v>11810.69</v>
      </c>
      <c r="C1843"/>
      <c r="D1843" s="160"/>
    </row>
    <row r="1844" spans="1:4" x14ac:dyDescent="0.3">
      <c r="A1844" s="157">
        <v>42613</v>
      </c>
      <c r="B1844" s="158">
        <v>11826.19</v>
      </c>
      <c r="C1844"/>
      <c r="D1844" s="160"/>
    </row>
    <row r="1845" spans="1:4" x14ac:dyDescent="0.3">
      <c r="A1845" s="157">
        <v>42612</v>
      </c>
      <c r="B1845" s="158">
        <v>11766.04</v>
      </c>
      <c r="C1845"/>
      <c r="D1845" s="160"/>
    </row>
    <row r="1846" spans="1:4" x14ac:dyDescent="0.3">
      <c r="A1846" s="157">
        <v>42611</v>
      </c>
      <c r="B1846" s="158">
        <v>11581.83</v>
      </c>
      <c r="C1846"/>
      <c r="D1846" s="160"/>
    </row>
    <row r="1847" spans="1:4" x14ac:dyDescent="0.3">
      <c r="A1847" s="157">
        <v>42608</v>
      </c>
      <c r="B1847" s="158">
        <v>11534.92</v>
      </c>
      <c r="C1847"/>
      <c r="D1847" s="160"/>
    </row>
    <row r="1848" spans="1:4" x14ac:dyDescent="0.3">
      <c r="A1848" s="157">
        <v>42607</v>
      </c>
      <c r="B1848" s="158">
        <v>11561.34</v>
      </c>
      <c r="C1848"/>
      <c r="D1848" s="160"/>
    </row>
    <row r="1849" spans="1:4" x14ac:dyDescent="0.3">
      <c r="A1849" s="157">
        <v>42606</v>
      </c>
      <c r="B1849" s="158">
        <v>11639.48</v>
      </c>
      <c r="C1849"/>
      <c r="D1849" s="160"/>
    </row>
    <row r="1850" spans="1:4" x14ac:dyDescent="0.3">
      <c r="A1850" s="157">
        <v>42605</v>
      </c>
      <c r="B1850" s="158">
        <v>11615.7</v>
      </c>
      <c r="C1850"/>
      <c r="D1850" s="160"/>
    </row>
    <row r="1851" spans="1:4" x14ac:dyDescent="0.3">
      <c r="A1851" s="157">
        <v>42604</v>
      </c>
      <c r="B1851" s="158">
        <v>11611.02</v>
      </c>
      <c r="C1851"/>
      <c r="D1851" s="160"/>
    </row>
    <row r="1852" spans="1:4" x14ac:dyDescent="0.3">
      <c r="A1852" s="157">
        <v>42601</v>
      </c>
      <c r="B1852" s="158">
        <v>11661.82</v>
      </c>
      <c r="C1852"/>
      <c r="D1852" s="160"/>
    </row>
    <row r="1853" spans="1:4" x14ac:dyDescent="0.3">
      <c r="A1853" s="157">
        <v>42600</v>
      </c>
      <c r="B1853" s="158">
        <v>11670.37</v>
      </c>
      <c r="C1853"/>
      <c r="D1853" s="160"/>
    </row>
    <row r="1854" spans="1:4" x14ac:dyDescent="0.3">
      <c r="A1854" s="157">
        <v>42599</v>
      </c>
      <c r="B1854" s="158">
        <v>11598.72</v>
      </c>
      <c r="C1854"/>
      <c r="D1854" s="160"/>
    </row>
    <row r="1855" spans="1:4" x14ac:dyDescent="0.3">
      <c r="A1855" s="157">
        <v>42598</v>
      </c>
      <c r="B1855" s="158">
        <v>11623.61</v>
      </c>
      <c r="C1855"/>
      <c r="D1855" s="160"/>
    </row>
    <row r="1856" spans="1:4" x14ac:dyDescent="0.3">
      <c r="A1856" s="157">
        <v>42594</v>
      </c>
      <c r="B1856" s="158">
        <v>11663.43</v>
      </c>
      <c r="C1856"/>
      <c r="D1856" s="160"/>
    </row>
    <row r="1857" spans="1:4" x14ac:dyDescent="0.3">
      <c r="A1857" s="157">
        <v>42593</v>
      </c>
      <c r="B1857" s="158">
        <v>11555.84</v>
      </c>
      <c r="C1857"/>
      <c r="D1857" s="160"/>
    </row>
    <row r="1858" spans="1:4" x14ac:dyDescent="0.3">
      <c r="A1858" s="157">
        <v>42592</v>
      </c>
      <c r="B1858" s="158">
        <v>11532.49</v>
      </c>
      <c r="C1858"/>
      <c r="D1858" s="160"/>
    </row>
    <row r="1859" spans="1:4" x14ac:dyDescent="0.3">
      <c r="A1859" s="157">
        <v>42591</v>
      </c>
      <c r="B1859" s="158">
        <v>11669.7</v>
      </c>
      <c r="C1859"/>
      <c r="D1859" s="160"/>
    </row>
    <row r="1860" spans="1:4" x14ac:dyDescent="0.3">
      <c r="A1860" s="157">
        <v>42590</v>
      </c>
      <c r="B1860" s="158">
        <v>11713.58</v>
      </c>
      <c r="C1860"/>
      <c r="D1860" s="160"/>
    </row>
    <row r="1861" spans="1:4" x14ac:dyDescent="0.3">
      <c r="A1861" s="157">
        <v>42587</v>
      </c>
      <c r="B1861" s="158">
        <v>11675.68</v>
      </c>
      <c r="C1861"/>
      <c r="D1861" s="160"/>
    </row>
    <row r="1862" spans="1:4" x14ac:dyDescent="0.3">
      <c r="A1862" s="157">
        <v>42586</v>
      </c>
      <c r="B1862" s="158">
        <v>11498.13</v>
      </c>
      <c r="C1862"/>
      <c r="D1862" s="160"/>
    </row>
    <row r="1863" spans="1:4" x14ac:dyDescent="0.3">
      <c r="A1863" s="157">
        <v>42585</v>
      </c>
      <c r="B1863" s="158">
        <v>11489.74</v>
      </c>
      <c r="C1863"/>
      <c r="D1863" s="160"/>
    </row>
    <row r="1864" spans="1:4" x14ac:dyDescent="0.3">
      <c r="A1864" s="157">
        <v>42584</v>
      </c>
      <c r="B1864" s="158">
        <v>11594.65</v>
      </c>
      <c r="C1864"/>
      <c r="D1864" s="160"/>
    </row>
    <row r="1865" spans="1:4" x14ac:dyDescent="0.3">
      <c r="A1865" s="157">
        <v>42583</v>
      </c>
      <c r="B1865" s="158">
        <v>11612.19</v>
      </c>
      <c r="C1865"/>
      <c r="D1865" s="160"/>
    </row>
    <row r="1866" spans="1:4" x14ac:dyDescent="0.3">
      <c r="A1866" s="157">
        <v>42580</v>
      </c>
      <c r="B1866" s="158">
        <v>11614.8</v>
      </c>
      <c r="C1866"/>
      <c r="D1866" s="160"/>
    </row>
    <row r="1867" spans="1:4" x14ac:dyDescent="0.3">
      <c r="A1867" s="157">
        <v>42579</v>
      </c>
      <c r="B1867" s="158">
        <v>11652.18</v>
      </c>
      <c r="C1867"/>
      <c r="D1867" s="160"/>
    </row>
    <row r="1868" spans="1:4" x14ac:dyDescent="0.3">
      <c r="A1868" s="157">
        <v>42578</v>
      </c>
      <c r="B1868" s="158">
        <v>11579.64</v>
      </c>
      <c r="C1868"/>
      <c r="D1868" s="160"/>
    </row>
    <row r="1869" spans="1:4" x14ac:dyDescent="0.3">
      <c r="A1869" s="157">
        <v>42577</v>
      </c>
      <c r="B1869" s="158">
        <v>11545.78</v>
      </c>
      <c r="C1869"/>
      <c r="D1869" s="160"/>
    </row>
    <row r="1870" spans="1:4" x14ac:dyDescent="0.3">
      <c r="A1870" s="157">
        <v>42576</v>
      </c>
      <c r="B1870" s="158">
        <v>11606.29</v>
      </c>
      <c r="C1870"/>
      <c r="D1870" s="160"/>
    </row>
    <row r="1871" spans="1:4" x14ac:dyDescent="0.3">
      <c r="A1871" s="157">
        <v>42573</v>
      </c>
      <c r="B1871" s="158">
        <v>11477.47</v>
      </c>
      <c r="C1871"/>
      <c r="D1871" s="160"/>
    </row>
    <row r="1872" spans="1:4" x14ac:dyDescent="0.3">
      <c r="A1872" s="157">
        <v>42572</v>
      </c>
      <c r="B1872" s="158">
        <v>11435.64</v>
      </c>
      <c r="C1872"/>
      <c r="D1872" s="160"/>
    </row>
    <row r="1873" spans="1:4" x14ac:dyDescent="0.3">
      <c r="A1873" s="157">
        <v>42571</v>
      </c>
      <c r="B1873" s="158">
        <v>11508.07</v>
      </c>
      <c r="C1873"/>
      <c r="D1873" s="160"/>
    </row>
    <row r="1874" spans="1:4" x14ac:dyDescent="0.3">
      <c r="A1874" s="157">
        <v>42570</v>
      </c>
      <c r="B1874" s="158">
        <v>11457.95</v>
      </c>
      <c r="C1874"/>
      <c r="D1874" s="160"/>
    </row>
    <row r="1875" spans="1:4" x14ac:dyDescent="0.3">
      <c r="A1875" s="157">
        <v>42569</v>
      </c>
      <c r="B1875" s="158">
        <v>11431.25</v>
      </c>
      <c r="C1875"/>
      <c r="D1875" s="160"/>
    </row>
    <row r="1876" spans="1:4" x14ac:dyDescent="0.3">
      <c r="A1876" s="157">
        <v>42566</v>
      </c>
      <c r="B1876" s="158">
        <v>11474.04</v>
      </c>
      <c r="C1876"/>
      <c r="D1876" s="160"/>
    </row>
    <row r="1877" spans="1:4" x14ac:dyDescent="0.3">
      <c r="A1877" s="157">
        <v>42565</v>
      </c>
      <c r="B1877" s="158">
        <v>11497.65</v>
      </c>
      <c r="C1877"/>
      <c r="D1877" s="160"/>
    </row>
    <row r="1878" spans="1:4" x14ac:dyDescent="0.3">
      <c r="A1878" s="157">
        <v>42564</v>
      </c>
      <c r="B1878" s="158">
        <v>11436.09</v>
      </c>
      <c r="C1878"/>
      <c r="D1878" s="160"/>
    </row>
    <row r="1879" spans="1:4" x14ac:dyDescent="0.3">
      <c r="A1879" s="157">
        <v>42563</v>
      </c>
      <c r="B1879" s="158">
        <v>11438.19</v>
      </c>
      <c r="C1879"/>
      <c r="D1879" s="160"/>
    </row>
    <row r="1880" spans="1:4" x14ac:dyDescent="0.3">
      <c r="A1880" s="157">
        <v>42562</v>
      </c>
      <c r="B1880" s="158">
        <v>11366.82</v>
      </c>
      <c r="C1880"/>
      <c r="D1880" s="160"/>
    </row>
    <row r="1881" spans="1:4" x14ac:dyDescent="0.3">
      <c r="A1881" s="157">
        <v>42559</v>
      </c>
      <c r="B1881" s="158">
        <v>11172.39</v>
      </c>
      <c r="C1881"/>
      <c r="D1881" s="160"/>
    </row>
    <row r="1882" spans="1:4" x14ac:dyDescent="0.3">
      <c r="A1882" s="157">
        <v>42558</v>
      </c>
      <c r="B1882" s="158">
        <v>11192.11</v>
      </c>
      <c r="C1882"/>
      <c r="D1882" s="160"/>
    </row>
    <row r="1883" spans="1:4" x14ac:dyDescent="0.3">
      <c r="A1883" s="157">
        <v>42556</v>
      </c>
      <c r="B1883" s="158">
        <v>11186.41</v>
      </c>
      <c r="C1883"/>
      <c r="D1883" s="160"/>
    </row>
    <row r="1884" spans="1:4" x14ac:dyDescent="0.3">
      <c r="A1884" s="157">
        <v>42555</v>
      </c>
      <c r="B1884" s="158">
        <v>11233.09</v>
      </c>
      <c r="C1884"/>
      <c r="D1884" s="160"/>
    </row>
    <row r="1885" spans="1:4" x14ac:dyDescent="0.3">
      <c r="A1885" s="157">
        <v>42552</v>
      </c>
      <c r="B1885" s="158">
        <v>11175.85</v>
      </c>
      <c r="C1885"/>
      <c r="D1885" s="160"/>
    </row>
    <row r="1886" spans="1:4" x14ac:dyDescent="0.3">
      <c r="A1886" s="157">
        <v>42551</v>
      </c>
      <c r="B1886" s="158">
        <v>11121.39</v>
      </c>
      <c r="C1886"/>
      <c r="D1886" s="160"/>
    </row>
    <row r="1887" spans="1:4" x14ac:dyDescent="0.3">
      <c r="A1887" s="157">
        <v>42550</v>
      </c>
      <c r="B1887" s="158">
        <v>11009.02</v>
      </c>
      <c r="C1887"/>
      <c r="D1887" s="160"/>
    </row>
    <row r="1888" spans="1:4" x14ac:dyDescent="0.3">
      <c r="A1888" s="157">
        <v>42549</v>
      </c>
      <c r="B1888" s="158">
        <v>10899.91</v>
      </c>
      <c r="C1888"/>
      <c r="D1888" s="160"/>
    </row>
    <row r="1889" spans="1:4" x14ac:dyDescent="0.3">
      <c r="A1889" s="157">
        <v>42548</v>
      </c>
      <c r="B1889" s="158">
        <v>10855.5</v>
      </c>
      <c r="C1889"/>
      <c r="D1889" s="160"/>
    </row>
    <row r="1890" spans="1:4" x14ac:dyDescent="0.3">
      <c r="A1890" s="157">
        <v>42545</v>
      </c>
      <c r="B1890" s="158">
        <v>10847.29</v>
      </c>
      <c r="C1890"/>
      <c r="D1890" s="160"/>
    </row>
    <row r="1891" spans="1:4" x14ac:dyDescent="0.3">
      <c r="A1891" s="157">
        <v>42544</v>
      </c>
      <c r="B1891" s="158">
        <v>11091.16</v>
      </c>
      <c r="C1891"/>
      <c r="D1891" s="160"/>
    </row>
    <row r="1892" spans="1:4" x14ac:dyDescent="0.3">
      <c r="A1892" s="157">
        <v>42543</v>
      </c>
      <c r="B1892" s="158">
        <v>11000.82</v>
      </c>
      <c r="C1892"/>
      <c r="D1892" s="160"/>
    </row>
    <row r="1893" spans="1:4" x14ac:dyDescent="0.3">
      <c r="A1893" s="157">
        <v>42542</v>
      </c>
      <c r="B1893" s="158">
        <v>11020.11</v>
      </c>
      <c r="C1893"/>
      <c r="D1893" s="160"/>
    </row>
    <row r="1894" spans="1:4" x14ac:dyDescent="0.3">
      <c r="A1894" s="157">
        <v>42541</v>
      </c>
      <c r="B1894" s="158">
        <v>11045.03</v>
      </c>
      <c r="C1894"/>
      <c r="D1894" s="160"/>
    </row>
    <row r="1895" spans="1:4" x14ac:dyDescent="0.3">
      <c r="A1895" s="157">
        <v>42538</v>
      </c>
      <c r="B1895" s="158">
        <v>10953.44</v>
      </c>
      <c r="C1895"/>
      <c r="D1895" s="160"/>
    </row>
    <row r="1896" spans="1:4" x14ac:dyDescent="0.3">
      <c r="A1896" s="157">
        <v>42537</v>
      </c>
      <c r="B1896" s="158">
        <v>10913.97</v>
      </c>
      <c r="C1896"/>
      <c r="D1896" s="160"/>
    </row>
    <row r="1897" spans="1:4" x14ac:dyDescent="0.3">
      <c r="A1897" s="157">
        <v>42536</v>
      </c>
      <c r="B1897" s="158">
        <v>10990.64</v>
      </c>
      <c r="C1897"/>
      <c r="D1897" s="160"/>
    </row>
    <row r="1898" spans="1:4" x14ac:dyDescent="0.3">
      <c r="A1898" s="157">
        <v>42535</v>
      </c>
      <c r="B1898" s="158">
        <v>10859.76</v>
      </c>
      <c r="C1898"/>
      <c r="D1898" s="160"/>
    </row>
    <row r="1899" spans="1:4" x14ac:dyDescent="0.3">
      <c r="A1899" s="157">
        <v>42534</v>
      </c>
      <c r="B1899" s="158">
        <v>10862.06</v>
      </c>
      <c r="C1899"/>
      <c r="D1899" s="160"/>
    </row>
    <row r="1900" spans="1:4" x14ac:dyDescent="0.3">
      <c r="A1900" s="157">
        <v>42531</v>
      </c>
      <c r="B1900" s="158">
        <v>10941.7</v>
      </c>
      <c r="C1900"/>
      <c r="D1900" s="160"/>
    </row>
    <row r="1901" spans="1:4" x14ac:dyDescent="0.3">
      <c r="A1901" s="157">
        <v>42530</v>
      </c>
      <c r="B1901" s="158">
        <v>10986.64</v>
      </c>
      <c r="C1901"/>
      <c r="D1901" s="160"/>
    </row>
    <row r="1902" spans="1:4" x14ac:dyDescent="0.3">
      <c r="A1902" s="157">
        <v>42529</v>
      </c>
      <c r="B1902" s="158">
        <v>11068.75</v>
      </c>
      <c r="C1902"/>
      <c r="D1902" s="160"/>
    </row>
    <row r="1903" spans="1:4" x14ac:dyDescent="0.3">
      <c r="A1903" s="157">
        <v>42528</v>
      </c>
      <c r="B1903" s="158">
        <v>11059.93</v>
      </c>
      <c r="C1903"/>
      <c r="D1903" s="160"/>
    </row>
    <row r="1904" spans="1:4" x14ac:dyDescent="0.3">
      <c r="A1904" s="157">
        <v>42527</v>
      </c>
      <c r="B1904" s="158">
        <v>10972.45</v>
      </c>
      <c r="C1904"/>
      <c r="D1904" s="160"/>
    </row>
    <row r="1905" spans="1:4" x14ac:dyDescent="0.3">
      <c r="A1905" s="157">
        <v>42524</v>
      </c>
      <c r="B1905" s="158">
        <v>10992.21</v>
      </c>
      <c r="C1905"/>
      <c r="D1905" s="160"/>
    </row>
    <row r="1906" spans="1:4" x14ac:dyDescent="0.3">
      <c r="A1906" s="157">
        <v>42523</v>
      </c>
      <c r="B1906" s="158">
        <v>10986.77</v>
      </c>
      <c r="C1906"/>
      <c r="D1906" s="160"/>
    </row>
    <row r="1907" spans="1:4" x14ac:dyDescent="0.3">
      <c r="A1907" s="157">
        <v>42522</v>
      </c>
      <c r="B1907" s="158">
        <v>10934.62</v>
      </c>
      <c r="C1907"/>
      <c r="D1907" s="160"/>
    </row>
    <row r="1908" spans="1:4" x14ac:dyDescent="0.3">
      <c r="A1908" s="157">
        <v>42521</v>
      </c>
      <c r="B1908" s="158">
        <v>10908.07</v>
      </c>
      <c r="C1908"/>
      <c r="D1908" s="160"/>
    </row>
    <row r="1909" spans="1:4" x14ac:dyDescent="0.3">
      <c r="A1909" s="157">
        <v>42520</v>
      </c>
      <c r="B1909" s="158">
        <v>10932.7</v>
      </c>
      <c r="C1909"/>
      <c r="D1909" s="160"/>
    </row>
    <row r="1910" spans="1:4" x14ac:dyDescent="0.3">
      <c r="A1910" s="157">
        <v>42517</v>
      </c>
      <c r="B1910" s="158">
        <v>10884.88</v>
      </c>
      <c r="C1910"/>
      <c r="D1910" s="160"/>
    </row>
    <row r="1911" spans="1:4" x14ac:dyDescent="0.3">
      <c r="A1911" s="157">
        <v>42516</v>
      </c>
      <c r="B1911" s="158">
        <v>10768.78</v>
      </c>
      <c r="C1911"/>
      <c r="D1911" s="160"/>
    </row>
    <row r="1912" spans="1:4" x14ac:dyDescent="0.3">
      <c r="A1912" s="157">
        <v>42515</v>
      </c>
      <c r="B1912" s="158">
        <v>10588.92</v>
      </c>
      <c r="C1912"/>
      <c r="D1912" s="160"/>
    </row>
    <row r="1913" spans="1:4" x14ac:dyDescent="0.3">
      <c r="A1913" s="157">
        <v>42514</v>
      </c>
      <c r="B1913" s="158">
        <v>10340.65</v>
      </c>
      <c r="C1913"/>
      <c r="D1913" s="160"/>
    </row>
    <row r="1914" spans="1:4" x14ac:dyDescent="0.3">
      <c r="A1914" s="157">
        <v>42513</v>
      </c>
      <c r="B1914" s="158">
        <v>10316.91</v>
      </c>
      <c r="C1914"/>
      <c r="D1914" s="160"/>
    </row>
    <row r="1915" spans="1:4" x14ac:dyDescent="0.3">
      <c r="A1915" s="157">
        <v>42510</v>
      </c>
      <c r="B1915" s="158">
        <v>10341.790000000001</v>
      </c>
      <c r="C1915"/>
      <c r="D1915" s="160"/>
    </row>
    <row r="1916" spans="1:4" x14ac:dyDescent="0.3">
      <c r="A1916" s="157">
        <v>42509</v>
      </c>
      <c r="B1916" s="158">
        <v>10386.75</v>
      </c>
      <c r="C1916"/>
      <c r="D1916" s="160"/>
    </row>
    <row r="1917" spans="1:4" x14ac:dyDescent="0.3">
      <c r="A1917" s="157">
        <v>42508</v>
      </c>
      <c r="B1917" s="158">
        <v>10502.51</v>
      </c>
      <c r="C1917"/>
      <c r="D1917" s="160"/>
    </row>
    <row r="1918" spans="1:4" x14ac:dyDescent="0.3">
      <c r="A1918" s="157">
        <v>42507</v>
      </c>
      <c r="B1918" s="158">
        <v>10530.03</v>
      </c>
      <c r="C1918"/>
      <c r="D1918" s="160"/>
    </row>
    <row r="1919" spans="1:4" x14ac:dyDescent="0.3">
      <c r="A1919" s="157">
        <v>42506</v>
      </c>
      <c r="B1919" s="158">
        <v>10489.97</v>
      </c>
      <c r="C1919"/>
      <c r="D1919" s="160"/>
    </row>
    <row r="1920" spans="1:4" x14ac:dyDescent="0.3">
      <c r="A1920" s="157">
        <v>42503</v>
      </c>
      <c r="B1920" s="158">
        <v>10428.780000000001</v>
      </c>
      <c r="C1920"/>
      <c r="D1920" s="160"/>
    </row>
    <row r="1921" spans="1:4" x14ac:dyDescent="0.3">
      <c r="A1921" s="157">
        <v>42502</v>
      </c>
      <c r="B1921" s="158">
        <v>10542.93</v>
      </c>
      <c r="C1921"/>
      <c r="D1921" s="160"/>
    </row>
    <row r="1922" spans="1:4" x14ac:dyDescent="0.3">
      <c r="A1922" s="157">
        <v>42501</v>
      </c>
      <c r="B1922" s="158">
        <v>10474.1</v>
      </c>
      <c r="C1922"/>
      <c r="D1922" s="160"/>
    </row>
    <row r="1923" spans="1:4" x14ac:dyDescent="0.3">
      <c r="A1923" s="157">
        <v>42500</v>
      </c>
      <c r="B1923" s="158">
        <v>10526.11</v>
      </c>
      <c r="C1923"/>
      <c r="D1923" s="160"/>
    </row>
    <row r="1924" spans="1:4" x14ac:dyDescent="0.3">
      <c r="A1924" s="157">
        <v>42499</v>
      </c>
      <c r="B1924" s="158">
        <v>10497.09</v>
      </c>
      <c r="C1924"/>
      <c r="D1924" s="160"/>
    </row>
    <row r="1925" spans="1:4" x14ac:dyDescent="0.3">
      <c r="A1925" s="157">
        <v>42496</v>
      </c>
      <c r="B1925" s="158">
        <v>10320.120000000001</v>
      </c>
      <c r="C1925"/>
      <c r="D1925" s="160"/>
    </row>
    <row r="1926" spans="1:4" x14ac:dyDescent="0.3">
      <c r="A1926" s="157">
        <v>42495</v>
      </c>
      <c r="B1926" s="158">
        <v>10322.82</v>
      </c>
      <c r="C1926"/>
      <c r="D1926" s="160"/>
    </row>
    <row r="1927" spans="1:4" x14ac:dyDescent="0.3">
      <c r="A1927" s="157">
        <v>42494</v>
      </c>
      <c r="B1927" s="158">
        <v>10283.01</v>
      </c>
      <c r="C1927"/>
      <c r="D1927" s="160"/>
    </row>
    <row r="1928" spans="1:4" x14ac:dyDescent="0.3">
      <c r="A1928" s="157">
        <v>42493</v>
      </c>
      <c r="B1928" s="158">
        <v>10336.969999999999</v>
      </c>
      <c r="C1928"/>
      <c r="D1928" s="160"/>
    </row>
    <row r="1929" spans="1:4" x14ac:dyDescent="0.3">
      <c r="A1929" s="157">
        <v>42492</v>
      </c>
      <c r="B1929" s="158">
        <v>10415.52</v>
      </c>
      <c r="C1929"/>
      <c r="D1929" s="160"/>
    </row>
    <row r="1930" spans="1:4" x14ac:dyDescent="0.3">
      <c r="A1930" s="157">
        <v>42489</v>
      </c>
      <c r="B1930" s="158">
        <v>10474.15</v>
      </c>
      <c r="C1930"/>
      <c r="D1930" s="160"/>
    </row>
    <row r="1931" spans="1:4" x14ac:dyDescent="0.3">
      <c r="A1931" s="157">
        <v>42488</v>
      </c>
      <c r="B1931" s="158">
        <v>10470.709999999999</v>
      </c>
      <c r="C1931"/>
      <c r="D1931" s="160"/>
    </row>
    <row r="1932" spans="1:4" x14ac:dyDescent="0.3">
      <c r="A1932" s="157">
        <v>42487</v>
      </c>
      <c r="B1932" s="158">
        <v>10647.74</v>
      </c>
      <c r="C1932"/>
      <c r="D1932" s="160"/>
    </row>
    <row r="1933" spans="1:4" x14ac:dyDescent="0.3">
      <c r="A1933" s="157">
        <v>42486</v>
      </c>
      <c r="B1933" s="158">
        <v>10624.72</v>
      </c>
      <c r="C1933"/>
      <c r="D1933" s="160"/>
    </row>
    <row r="1934" spans="1:4" x14ac:dyDescent="0.3">
      <c r="A1934" s="157">
        <v>42485</v>
      </c>
      <c r="B1934" s="158">
        <v>10481.120000000001</v>
      </c>
      <c r="C1934"/>
      <c r="D1934" s="160"/>
    </row>
    <row r="1935" spans="1:4" x14ac:dyDescent="0.3">
      <c r="A1935" s="157">
        <v>42482</v>
      </c>
      <c r="B1935" s="158">
        <v>10540.19</v>
      </c>
      <c r="C1935"/>
      <c r="D1935" s="160"/>
    </row>
    <row r="1936" spans="1:4" x14ac:dyDescent="0.3">
      <c r="A1936" s="157">
        <v>42481</v>
      </c>
      <c r="B1936" s="158">
        <v>10557.22</v>
      </c>
      <c r="C1936"/>
      <c r="D1936" s="160"/>
    </row>
    <row r="1937" spans="1:4" x14ac:dyDescent="0.3">
      <c r="A1937" s="157">
        <v>42480</v>
      </c>
      <c r="B1937" s="158">
        <v>10560.79</v>
      </c>
      <c r="C1937"/>
      <c r="D1937" s="160"/>
    </row>
    <row r="1938" spans="1:4" x14ac:dyDescent="0.3">
      <c r="A1938" s="157">
        <v>42478</v>
      </c>
      <c r="B1938" s="158">
        <v>10560.74</v>
      </c>
      <c r="C1938"/>
      <c r="D1938" s="160"/>
    </row>
    <row r="1939" spans="1:4" x14ac:dyDescent="0.3">
      <c r="A1939" s="157">
        <v>42473</v>
      </c>
      <c r="B1939" s="158">
        <v>10475.02</v>
      </c>
      <c r="C1939"/>
      <c r="D1939" s="160"/>
    </row>
    <row r="1940" spans="1:4" x14ac:dyDescent="0.3">
      <c r="A1940" s="157">
        <v>42472</v>
      </c>
      <c r="B1940" s="158">
        <v>10286.18</v>
      </c>
      <c r="C1940"/>
      <c r="D1940" s="160"/>
    </row>
    <row r="1941" spans="1:4" x14ac:dyDescent="0.3">
      <c r="A1941" s="157">
        <v>42471</v>
      </c>
      <c r="B1941" s="158">
        <v>10236.11</v>
      </c>
      <c r="C1941"/>
      <c r="D1941" s="160"/>
    </row>
    <row r="1942" spans="1:4" x14ac:dyDescent="0.3">
      <c r="A1942" s="157">
        <v>42468</v>
      </c>
      <c r="B1942" s="158">
        <v>10081.01</v>
      </c>
      <c r="C1942"/>
      <c r="D1942" s="160"/>
    </row>
    <row r="1943" spans="1:4" x14ac:dyDescent="0.3">
      <c r="A1943" s="157">
        <v>42467</v>
      </c>
      <c r="B1943" s="158">
        <v>10069.36</v>
      </c>
      <c r="C1943"/>
      <c r="D1943" s="160"/>
    </row>
    <row r="1944" spans="1:4" x14ac:dyDescent="0.3">
      <c r="A1944" s="157">
        <v>42466</v>
      </c>
      <c r="B1944" s="158">
        <v>10159.98</v>
      </c>
      <c r="C1944"/>
      <c r="D1944" s="160"/>
    </row>
    <row r="1945" spans="1:4" x14ac:dyDescent="0.3">
      <c r="A1945" s="157">
        <v>42465</v>
      </c>
      <c r="B1945" s="158">
        <v>10145.1</v>
      </c>
      <c r="C1945"/>
      <c r="D1945" s="160"/>
    </row>
    <row r="1946" spans="1:4" x14ac:dyDescent="0.3">
      <c r="A1946" s="157">
        <v>42464</v>
      </c>
      <c r="B1946" s="158">
        <v>10352.69</v>
      </c>
      <c r="C1946"/>
      <c r="D1946" s="160"/>
    </row>
    <row r="1947" spans="1:4" x14ac:dyDescent="0.3">
      <c r="A1947" s="157">
        <v>42461</v>
      </c>
      <c r="B1947" s="158">
        <v>10291.69</v>
      </c>
      <c r="C1947"/>
      <c r="D1947" s="160"/>
    </row>
    <row r="1948" spans="1:4" x14ac:dyDescent="0.3">
      <c r="A1948" s="157">
        <v>42460</v>
      </c>
      <c r="B1948" s="158">
        <v>10325.5</v>
      </c>
      <c r="C1948"/>
      <c r="D1948" s="160"/>
    </row>
    <row r="1949" spans="1:4" x14ac:dyDescent="0.3">
      <c r="A1949" s="157">
        <v>42459</v>
      </c>
      <c r="B1949" s="158">
        <v>10321.200000000001</v>
      </c>
      <c r="C1949"/>
      <c r="D1949" s="160"/>
    </row>
    <row r="1950" spans="1:4" x14ac:dyDescent="0.3">
      <c r="A1950" s="157">
        <v>42458</v>
      </c>
      <c r="B1950" s="158">
        <v>10135.49</v>
      </c>
      <c r="C1950"/>
      <c r="D1950" s="160"/>
    </row>
    <row r="1951" spans="1:4" x14ac:dyDescent="0.3">
      <c r="A1951" s="157">
        <v>42457</v>
      </c>
      <c r="B1951" s="158">
        <v>10159.66</v>
      </c>
      <c r="C1951"/>
      <c r="D1951" s="160"/>
    </row>
    <row r="1952" spans="1:4" x14ac:dyDescent="0.3">
      <c r="A1952" s="157">
        <v>42452</v>
      </c>
      <c r="B1952" s="158">
        <v>10294.93</v>
      </c>
      <c r="C1952"/>
      <c r="D1952" s="160"/>
    </row>
    <row r="1953" spans="1:4" x14ac:dyDescent="0.3">
      <c r="A1953" s="157">
        <v>42451</v>
      </c>
      <c r="B1953" s="158">
        <v>10292.77</v>
      </c>
      <c r="C1953"/>
      <c r="D1953" s="160"/>
    </row>
    <row r="1954" spans="1:4" x14ac:dyDescent="0.3">
      <c r="A1954" s="157">
        <v>42450</v>
      </c>
      <c r="B1954" s="158">
        <v>10278.299999999999</v>
      </c>
      <c r="C1954"/>
      <c r="D1954" s="160"/>
    </row>
    <row r="1955" spans="1:4" x14ac:dyDescent="0.3">
      <c r="A1955" s="157">
        <v>42447</v>
      </c>
      <c r="B1955" s="158">
        <v>10143.6</v>
      </c>
      <c r="C1955"/>
      <c r="D1955" s="160"/>
    </row>
    <row r="1956" spans="1:4" x14ac:dyDescent="0.3">
      <c r="A1956" s="157">
        <v>42446</v>
      </c>
      <c r="B1956" s="158">
        <v>10021.129999999999</v>
      </c>
      <c r="C1956"/>
      <c r="D1956" s="160"/>
    </row>
    <row r="1957" spans="1:4" x14ac:dyDescent="0.3">
      <c r="A1957" s="157">
        <v>42445</v>
      </c>
      <c r="B1957" s="158">
        <v>9997.9</v>
      </c>
      <c r="C1957"/>
      <c r="D1957" s="160"/>
    </row>
    <row r="1958" spans="1:4" x14ac:dyDescent="0.3">
      <c r="A1958" s="157">
        <v>42444</v>
      </c>
      <c r="B1958" s="158">
        <v>9944.76</v>
      </c>
      <c r="C1958"/>
      <c r="D1958" s="160"/>
    </row>
    <row r="1959" spans="1:4" x14ac:dyDescent="0.3">
      <c r="A1959" s="157">
        <v>42443</v>
      </c>
      <c r="B1959" s="158">
        <v>10048.89</v>
      </c>
      <c r="C1959"/>
      <c r="D1959" s="160"/>
    </row>
    <row r="1960" spans="1:4" x14ac:dyDescent="0.3">
      <c r="A1960" s="157">
        <v>42440</v>
      </c>
      <c r="B1960" s="158">
        <v>10001.18</v>
      </c>
      <c r="C1960"/>
      <c r="D1960" s="160"/>
    </row>
    <row r="1961" spans="1:4" x14ac:dyDescent="0.3">
      <c r="A1961" s="157">
        <v>42439</v>
      </c>
      <c r="B1961" s="158">
        <v>9969.15</v>
      </c>
      <c r="C1961"/>
      <c r="D1961" s="160"/>
    </row>
    <row r="1962" spans="1:4" x14ac:dyDescent="0.3">
      <c r="A1962" s="157">
        <v>42438</v>
      </c>
      <c r="B1962" s="158">
        <v>10029.959999999999</v>
      </c>
      <c r="C1962"/>
      <c r="D1962" s="160"/>
    </row>
    <row r="1963" spans="1:4" x14ac:dyDescent="0.3">
      <c r="A1963" s="157">
        <v>42437</v>
      </c>
      <c r="B1963" s="158">
        <v>9967.99</v>
      </c>
      <c r="C1963"/>
      <c r="D1963" s="160"/>
    </row>
    <row r="1964" spans="1:4" x14ac:dyDescent="0.3">
      <c r="A1964" s="157">
        <v>42433</v>
      </c>
      <c r="B1964" s="158">
        <v>9968.09</v>
      </c>
      <c r="C1964"/>
      <c r="D1964" s="160"/>
    </row>
    <row r="1965" spans="1:4" x14ac:dyDescent="0.3">
      <c r="A1965" s="157">
        <v>42432</v>
      </c>
      <c r="B1965" s="158">
        <v>9955.1</v>
      </c>
      <c r="C1965"/>
      <c r="D1965" s="160"/>
    </row>
    <row r="1966" spans="1:4" x14ac:dyDescent="0.3">
      <c r="A1966" s="157">
        <v>42431</v>
      </c>
      <c r="B1966" s="158">
        <v>9812.68</v>
      </c>
      <c r="C1966"/>
      <c r="D1966" s="160"/>
    </row>
    <row r="1967" spans="1:4" x14ac:dyDescent="0.3">
      <c r="A1967" s="157">
        <v>42430</v>
      </c>
      <c r="B1967" s="158">
        <v>9617.51</v>
      </c>
      <c r="C1967"/>
      <c r="D1967" s="160"/>
    </row>
    <row r="1968" spans="1:4" x14ac:dyDescent="0.3">
      <c r="A1968" s="157">
        <v>42429</v>
      </c>
      <c r="B1968" s="158">
        <v>9304.26</v>
      </c>
      <c r="C1968"/>
      <c r="D1968" s="160"/>
    </row>
    <row r="1969" spans="1:4" x14ac:dyDescent="0.3">
      <c r="A1969" s="157">
        <v>42426</v>
      </c>
      <c r="B1969" s="158">
        <v>9361.1</v>
      </c>
      <c r="C1969"/>
      <c r="D1969" s="160"/>
    </row>
    <row r="1970" spans="1:4" x14ac:dyDescent="0.3">
      <c r="A1970" s="157">
        <v>42425</v>
      </c>
      <c r="B1970" s="158">
        <v>9282.3799999999992</v>
      </c>
      <c r="C1970"/>
      <c r="D1970" s="160"/>
    </row>
    <row r="1971" spans="1:4" x14ac:dyDescent="0.3">
      <c r="A1971" s="157">
        <v>42424</v>
      </c>
      <c r="B1971" s="158">
        <v>9346.39</v>
      </c>
      <c r="C1971"/>
      <c r="D1971" s="160"/>
    </row>
    <row r="1972" spans="1:4" x14ac:dyDescent="0.3">
      <c r="A1972" s="157">
        <v>42423</v>
      </c>
      <c r="B1972" s="158">
        <v>9467.41</v>
      </c>
      <c r="C1972"/>
      <c r="D1972" s="160"/>
    </row>
    <row r="1973" spans="1:4" x14ac:dyDescent="0.3">
      <c r="A1973" s="157">
        <v>42422</v>
      </c>
      <c r="B1973" s="158">
        <v>9633.83</v>
      </c>
      <c r="C1973"/>
      <c r="D1973" s="160"/>
    </row>
    <row r="1974" spans="1:4" x14ac:dyDescent="0.3">
      <c r="A1974" s="157">
        <v>42419</v>
      </c>
      <c r="B1974" s="158">
        <v>9601.77</v>
      </c>
      <c r="C1974"/>
      <c r="D1974" s="160"/>
    </row>
    <row r="1975" spans="1:4" x14ac:dyDescent="0.3">
      <c r="A1975" s="157">
        <v>42418</v>
      </c>
      <c r="B1975" s="158">
        <v>9576.4599999999991</v>
      </c>
      <c r="C1975"/>
      <c r="D1975" s="160"/>
    </row>
    <row r="1976" spans="1:4" x14ac:dyDescent="0.3">
      <c r="A1976" s="157">
        <v>42417</v>
      </c>
      <c r="B1976" s="158">
        <v>9465.52</v>
      </c>
      <c r="C1976"/>
      <c r="D1976" s="160"/>
    </row>
    <row r="1977" spans="1:4" x14ac:dyDescent="0.3">
      <c r="A1977" s="157">
        <v>42416</v>
      </c>
      <c r="B1977" s="158">
        <v>9385.36</v>
      </c>
      <c r="C1977"/>
      <c r="D1977" s="160"/>
    </row>
    <row r="1978" spans="1:4" x14ac:dyDescent="0.3">
      <c r="A1978" s="157">
        <v>42415</v>
      </c>
      <c r="B1978" s="158">
        <v>9537.74</v>
      </c>
      <c r="C1978"/>
      <c r="D1978" s="160"/>
    </row>
    <row r="1979" spans="1:4" x14ac:dyDescent="0.3">
      <c r="A1979" s="157">
        <v>42412</v>
      </c>
      <c r="B1979" s="158">
        <v>9295.41</v>
      </c>
      <c r="C1979"/>
      <c r="D1979" s="160"/>
    </row>
    <row r="1980" spans="1:4" x14ac:dyDescent="0.3">
      <c r="A1980" s="157">
        <v>42411</v>
      </c>
      <c r="B1980" s="158">
        <v>9289.2900000000009</v>
      </c>
      <c r="C1980"/>
      <c r="D1980" s="160"/>
    </row>
    <row r="1981" spans="1:4" x14ac:dyDescent="0.3">
      <c r="A1981" s="157">
        <v>42410</v>
      </c>
      <c r="B1981" s="158">
        <v>9607.98</v>
      </c>
      <c r="C1981"/>
      <c r="D1981" s="160"/>
    </row>
    <row r="1982" spans="1:4" x14ac:dyDescent="0.3">
      <c r="A1982" s="157">
        <v>42409</v>
      </c>
      <c r="B1982" s="158">
        <v>9717.8700000000008</v>
      </c>
      <c r="C1982"/>
      <c r="D1982" s="160"/>
    </row>
    <row r="1983" spans="1:4" x14ac:dyDescent="0.3">
      <c r="A1983" s="157">
        <v>42408</v>
      </c>
      <c r="B1983" s="158">
        <v>9836.41</v>
      </c>
      <c r="C1983"/>
      <c r="D1983" s="160"/>
    </row>
    <row r="1984" spans="1:4" x14ac:dyDescent="0.3">
      <c r="A1984" s="157">
        <v>42405</v>
      </c>
      <c r="B1984" s="158">
        <v>9972.0499999999993</v>
      </c>
      <c r="C1984"/>
      <c r="D1984" s="160"/>
    </row>
    <row r="1985" spans="1:4" x14ac:dyDescent="0.3">
      <c r="A1985" s="157">
        <v>42404</v>
      </c>
      <c r="B1985" s="158">
        <v>9857.82</v>
      </c>
      <c r="C1985"/>
      <c r="D1985" s="160"/>
    </row>
    <row r="1986" spans="1:4" x14ac:dyDescent="0.3">
      <c r="A1986" s="157">
        <v>42403</v>
      </c>
      <c r="B1986" s="158">
        <v>9801.6200000000008</v>
      </c>
      <c r="C1986"/>
      <c r="D1986" s="160"/>
    </row>
    <row r="1987" spans="1:4" x14ac:dyDescent="0.3">
      <c r="A1987" s="157">
        <v>42402</v>
      </c>
      <c r="B1987" s="158">
        <v>9925.98</v>
      </c>
      <c r="C1987"/>
      <c r="D1987" s="160"/>
    </row>
    <row r="1988" spans="1:4" x14ac:dyDescent="0.3">
      <c r="A1988" s="157">
        <v>42401</v>
      </c>
      <c r="B1988" s="158">
        <v>10058.69</v>
      </c>
      <c r="C1988"/>
      <c r="D1988" s="160"/>
    </row>
    <row r="1989" spans="1:4" x14ac:dyDescent="0.3">
      <c r="A1989" s="157">
        <v>42398</v>
      </c>
      <c r="B1989" s="158">
        <v>10068.86</v>
      </c>
      <c r="C1989"/>
      <c r="D1989" s="160"/>
    </row>
    <row r="1990" spans="1:4" x14ac:dyDescent="0.3">
      <c r="A1990" s="157">
        <v>42397</v>
      </c>
      <c r="B1990" s="158">
        <v>9883.94</v>
      </c>
      <c r="C1990"/>
      <c r="D1990" s="160"/>
    </row>
    <row r="1991" spans="1:4" x14ac:dyDescent="0.3">
      <c r="A1991" s="157">
        <v>42396</v>
      </c>
      <c r="B1991" s="158">
        <v>9901.35</v>
      </c>
      <c r="C1991"/>
      <c r="D1991" s="160"/>
    </row>
    <row r="1992" spans="1:4" x14ac:dyDescent="0.3">
      <c r="A1992" s="157">
        <v>42394</v>
      </c>
      <c r="B1992" s="158">
        <v>9898.2800000000007</v>
      </c>
      <c r="C1992"/>
      <c r="D1992" s="160"/>
    </row>
    <row r="1993" spans="1:4" x14ac:dyDescent="0.3">
      <c r="A1993" s="157">
        <v>42391</v>
      </c>
      <c r="B1993" s="158">
        <v>9879.1299999999992</v>
      </c>
      <c r="C1993"/>
      <c r="D1993" s="160"/>
    </row>
    <row r="1994" spans="1:4" x14ac:dyDescent="0.3">
      <c r="A1994" s="157">
        <v>42390</v>
      </c>
      <c r="B1994" s="158">
        <v>9685.2900000000009</v>
      </c>
      <c r="C1994"/>
      <c r="D1994" s="160"/>
    </row>
    <row r="1995" spans="1:4" x14ac:dyDescent="0.3">
      <c r="A1995" s="157">
        <v>42389</v>
      </c>
      <c r="B1995" s="158">
        <v>9727.77</v>
      </c>
      <c r="C1995"/>
      <c r="D1995" s="160"/>
    </row>
    <row r="1996" spans="1:4" x14ac:dyDescent="0.3">
      <c r="A1996" s="157">
        <v>42388</v>
      </c>
      <c r="B1996" s="158">
        <v>9895.18</v>
      </c>
      <c r="C1996"/>
      <c r="D1996" s="160"/>
    </row>
    <row r="1997" spans="1:4" x14ac:dyDescent="0.3">
      <c r="A1997" s="157">
        <v>42387</v>
      </c>
      <c r="B1997" s="158">
        <v>9783.26</v>
      </c>
      <c r="C1997"/>
      <c r="D1997" s="160"/>
    </row>
    <row r="1998" spans="1:4" x14ac:dyDescent="0.3">
      <c r="A1998" s="157">
        <v>42384</v>
      </c>
      <c r="B1998" s="158">
        <v>9898.7999999999993</v>
      </c>
      <c r="C1998"/>
      <c r="D1998" s="160"/>
    </row>
    <row r="1999" spans="1:4" x14ac:dyDescent="0.3">
      <c r="A1999" s="157">
        <v>42383</v>
      </c>
      <c r="B1999" s="158">
        <v>10030.530000000001</v>
      </c>
      <c r="C1999"/>
      <c r="D1999" s="160"/>
    </row>
    <row r="2000" spans="1:4" x14ac:dyDescent="0.3">
      <c r="A2000" s="157">
        <v>42382</v>
      </c>
      <c r="B2000" s="158">
        <v>10064.620000000001</v>
      </c>
      <c r="C2000"/>
      <c r="D2000" s="160"/>
    </row>
    <row r="2001" spans="1:4" x14ac:dyDescent="0.3">
      <c r="A2001" s="157">
        <v>42381</v>
      </c>
      <c r="B2001" s="158">
        <v>9995.25</v>
      </c>
      <c r="C2001"/>
      <c r="D2001" s="160"/>
    </row>
    <row r="2002" spans="1:4" x14ac:dyDescent="0.3">
      <c r="A2002" s="157">
        <v>42380</v>
      </c>
      <c r="B2002" s="158">
        <v>10066.57</v>
      </c>
      <c r="C2002"/>
      <c r="D2002" s="160"/>
    </row>
    <row r="2003" spans="1:4" x14ac:dyDescent="0.3">
      <c r="A2003" s="157">
        <v>42377</v>
      </c>
      <c r="B2003" s="158">
        <v>10116.450000000001</v>
      </c>
      <c r="C2003"/>
      <c r="D2003" s="160"/>
    </row>
    <row r="2004" spans="1:4" x14ac:dyDescent="0.3">
      <c r="A2004" s="157">
        <v>42376</v>
      </c>
      <c r="B2004" s="158">
        <v>10072.450000000001</v>
      </c>
      <c r="C2004"/>
      <c r="D2004" s="160"/>
    </row>
    <row r="2005" spans="1:4" x14ac:dyDescent="0.3">
      <c r="A2005" s="157">
        <v>42375</v>
      </c>
      <c r="B2005" s="158">
        <v>10302.32</v>
      </c>
      <c r="C2005"/>
      <c r="D2005" s="160"/>
    </row>
    <row r="2006" spans="1:4" x14ac:dyDescent="0.3">
      <c r="A2006" s="157">
        <v>42374</v>
      </c>
      <c r="B2006" s="158">
        <v>10360.42</v>
      </c>
      <c r="C2006"/>
      <c r="D2006" s="160"/>
    </row>
    <row r="2007" spans="1:4" x14ac:dyDescent="0.3">
      <c r="A2007" s="157">
        <v>42373</v>
      </c>
      <c r="B2007" s="158">
        <v>10369.24</v>
      </c>
      <c r="C2007"/>
      <c r="D2007" s="160"/>
    </row>
    <row r="2008" spans="1:4" x14ac:dyDescent="0.3">
      <c r="A2008" s="157">
        <v>42370</v>
      </c>
      <c r="B2008" s="158">
        <v>10598</v>
      </c>
      <c r="C2008"/>
      <c r="D2008" s="160"/>
    </row>
    <row r="2009" spans="1:4" x14ac:dyDescent="0.3">
      <c r="A2009" s="157">
        <v>42369</v>
      </c>
      <c r="B2009" s="158">
        <v>10575.63</v>
      </c>
      <c r="C2009"/>
      <c r="D2009" s="160"/>
    </row>
    <row r="2010" spans="1:4" x14ac:dyDescent="0.3">
      <c r="A2010" s="157">
        <v>42368</v>
      </c>
      <c r="B2010" s="158">
        <v>10508.91</v>
      </c>
      <c r="C2010"/>
      <c r="D2010" s="160"/>
    </row>
    <row r="2011" spans="1:4" x14ac:dyDescent="0.3">
      <c r="A2011" s="157">
        <v>42367</v>
      </c>
      <c r="B2011" s="158">
        <v>10552.46</v>
      </c>
      <c r="C2011"/>
      <c r="D2011" s="160"/>
    </row>
    <row r="2012" spans="1:4" x14ac:dyDescent="0.3">
      <c r="A2012" s="157">
        <v>42366</v>
      </c>
      <c r="B2012" s="158">
        <v>10547.37</v>
      </c>
      <c r="C2012"/>
      <c r="D2012" s="160"/>
    </row>
    <row r="2013" spans="1:4" x14ac:dyDescent="0.3">
      <c r="A2013" s="157">
        <v>42362</v>
      </c>
      <c r="B2013" s="158">
        <v>10462.08</v>
      </c>
      <c r="C2013"/>
      <c r="D2013" s="160"/>
    </row>
    <row r="2014" spans="1:4" x14ac:dyDescent="0.3">
      <c r="A2014" s="157">
        <v>42361</v>
      </c>
      <c r="B2014" s="158">
        <v>10468.61</v>
      </c>
      <c r="C2014"/>
      <c r="D2014" s="160"/>
    </row>
    <row r="2015" spans="1:4" x14ac:dyDescent="0.3">
      <c r="A2015" s="157">
        <v>42360</v>
      </c>
      <c r="B2015" s="158">
        <v>10362.35</v>
      </c>
      <c r="C2015"/>
      <c r="D2015" s="160"/>
    </row>
    <row r="2016" spans="1:4" x14ac:dyDescent="0.3">
      <c r="A2016" s="157">
        <v>42359</v>
      </c>
      <c r="B2016" s="158">
        <v>10426.69</v>
      </c>
      <c r="C2016"/>
      <c r="D2016" s="160"/>
    </row>
    <row r="2017" spans="1:4" x14ac:dyDescent="0.3">
      <c r="A2017" s="157">
        <v>42356</v>
      </c>
      <c r="B2017" s="158">
        <v>10330.16</v>
      </c>
      <c r="C2017"/>
      <c r="D2017" s="160"/>
    </row>
    <row r="2018" spans="1:4" x14ac:dyDescent="0.3">
      <c r="A2018" s="157">
        <v>42355</v>
      </c>
      <c r="B2018" s="158">
        <v>10439.83</v>
      </c>
      <c r="C2018"/>
      <c r="D2018" s="160"/>
    </row>
    <row r="2019" spans="1:4" x14ac:dyDescent="0.3">
      <c r="A2019" s="157">
        <v>42354</v>
      </c>
      <c r="B2019" s="158">
        <v>10315.450000000001</v>
      </c>
      <c r="C2019"/>
      <c r="D2019" s="160"/>
    </row>
    <row r="2020" spans="1:4" x14ac:dyDescent="0.3">
      <c r="A2020" s="157">
        <v>42353</v>
      </c>
      <c r="B2020" s="158">
        <v>10248.91</v>
      </c>
      <c r="C2020"/>
      <c r="D2020" s="160"/>
    </row>
    <row r="2021" spans="1:4" x14ac:dyDescent="0.3">
      <c r="A2021" s="157">
        <v>42352</v>
      </c>
      <c r="B2021" s="158">
        <v>10181.25</v>
      </c>
      <c r="C2021"/>
      <c r="D2021" s="160"/>
    </row>
    <row r="2022" spans="1:4" x14ac:dyDescent="0.3">
      <c r="A2022" s="157">
        <v>42349</v>
      </c>
      <c r="B2022" s="158">
        <v>10128.57</v>
      </c>
      <c r="C2022"/>
      <c r="D2022" s="160"/>
    </row>
    <row r="2023" spans="1:4" x14ac:dyDescent="0.3">
      <c r="A2023" s="157">
        <v>42348</v>
      </c>
      <c r="B2023" s="158">
        <v>10225.540000000001</v>
      </c>
      <c r="C2023"/>
      <c r="D2023" s="160"/>
    </row>
    <row r="2024" spans="1:4" x14ac:dyDescent="0.3">
      <c r="A2024" s="157">
        <v>42347</v>
      </c>
      <c r="B2024" s="158">
        <v>10131.26</v>
      </c>
      <c r="C2024"/>
      <c r="D2024" s="160"/>
    </row>
    <row r="2025" spans="1:4" x14ac:dyDescent="0.3">
      <c r="A2025" s="157">
        <v>42346</v>
      </c>
      <c r="B2025" s="158">
        <v>10250.030000000001</v>
      </c>
      <c r="C2025"/>
      <c r="D2025" s="160"/>
    </row>
    <row r="2026" spans="1:4" x14ac:dyDescent="0.3">
      <c r="A2026" s="157">
        <v>42345</v>
      </c>
      <c r="B2026" s="158">
        <v>10334.77</v>
      </c>
      <c r="C2026"/>
      <c r="D2026" s="160"/>
    </row>
    <row r="2027" spans="1:4" x14ac:dyDescent="0.3">
      <c r="A2027" s="157">
        <v>42342</v>
      </c>
      <c r="B2027" s="158">
        <v>10356.709999999999</v>
      </c>
      <c r="C2027"/>
      <c r="D2027" s="160"/>
    </row>
    <row r="2028" spans="1:4" x14ac:dyDescent="0.3">
      <c r="A2028" s="157">
        <v>42341</v>
      </c>
      <c r="B2028" s="158">
        <v>10466.19</v>
      </c>
      <c r="C2028"/>
      <c r="D2028" s="160"/>
    </row>
    <row r="2029" spans="1:4" x14ac:dyDescent="0.3">
      <c r="A2029" s="157">
        <v>42340</v>
      </c>
      <c r="B2029" s="158">
        <v>10555.62</v>
      </c>
      <c r="C2029"/>
      <c r="D2029" s="160"/>
    </row>
    <row r="2030" spans="1:4" x14ac:dyDescent="0.3">
      <c r="A2030" s="157">
        <v>42339</v>
      </c>
      <c r="B2030" s="158">
        <v>10586.99</v>
      </c>
      <c r="C2030"/>
      <c r="D2030" s="160"/>
    </row>
    <row r="2031" spans="1:4" x14ac:dyDescent="0.3">
      <c r="A2031" s="157">
        <v>42338</v>
      </c>
      <c r="B2031" s="158">
        <v>10560.84</v>
      </c>
      <c r="C2031"/>
      <c r="D2031" s="160"/>
    </row>
    <row r="2032" spans="1:4" x14ac:dyDescent="0.3">
      <c r="A2032" s="157">
        <v>42335</v>
      </c>
      <c r="B2032" s="158">
        <v>10570.76</v>
      </c>
      <c r="C2032"/>
      <c r="D2032" s="160"/>
    </row>
    <row r="2033" spans="1:4" x14ac:dyDescent="0.3">
      <c r="A2033" s="157">
        <v>42334</v>
      </c>
      <c r="B2033" s="158">
        <v>10492.35</v>
      </c>
      <c r="C2033"/>
      <c r="D2033" s="160"/>
    </row>
    <row r="2034" spans="1:4" x14ac:dyDescent="0.3">
      <c r="A2034" s="157">
        <v>42332</v>
      </c>
      <c r="B2034" s="158">
        <v>10422.86</v>
      </c>
      <c r="C2034"/>
      <c r="D2034" s="160"/>
    </row>
    <row r="2035" spans="1:4" x14ac:dyDescent="0.3">
      <c r="A2035" s="157">
        <v>42331</v>
      </c>
      <c r="B2035" s="158">
        <v>10446.4</v>
      </c>
      <c r="C2035"/>
      <c r="D2035" s="160"/>
    </row>
    <row r="2036" spans="1:4" x14ac:dyDescent="0.3">
      <c r="A2036" s="157">
        <v>42328</v>
      </c>
      <c r="B2036" s="158">
        <v>10456.11</v>
      </c>
      <c r="C2036"/>
      <c r="D2036" s="160"/>
    </row>
    <row r="2037" spans="1:4" x14ac:dyDescent="0.3">
      <c r="A2037" s="157">
        <v>42327</v>
      </c>
      <c r="B2037" s="158">
        <v>10437.709999999999</v>
      </c>
      <c r="C2037"/>
      <c r="D2037" s="160"/>
    </row>
    <row r="2038" spans="1:4" x14ac:dyDescent="0.3">
      <c r="A2038" s="157">
        <v>42326</v>
      </c>
      <c r="B2038" s="158">
        <v>10290.030000000001</v>
      </c>
      <c r="C2038"/>
      <c r="D2038" s="160"/>
    </row>
    <row r="2039" spans="1:4" x14ac:dyDescent="0.3">
      <c r="A2039" s="157">
        <v>42325</v>
      </c>
      <c r="B2039" s="158">
        <v>10430.780000000001</v>
      </c>
      <c r="C2039"/>
      <c r="D2039" s="160"/>
    </row>
    <row r="2040" spans="1:4" x14ac:dyDescent="0.3">
      <c r="A2040" s="157">
        <v>42324</v>
      </c>
      <c r="B2040" s="158">
        <v>10389.64</v>
      </c>
      <c r="C2040"/>
      <c r="D2040" s="160"/>
    </row>
    <row r="2041" spans="1:4" x14ac:dyDescent="0.3">
      <c r="A2041" s="157">
        <v>42321</v>
      </c>
      <c r="B2041" s="158">
        <v>10330.6</v>
      </c>
      <c r="C2041"/>
      <c r="D2041" s="160"/>
    </row>
    <row r="2042" spans="1:4" x14ac:dyDescent="0.3">
      <c r="A2042" s="157">
        <v>42319</v>
      </c>
      <c r="B2042" s="158">
        <v>10414.07</v>
      </c>
      <c r="C2042"/>
      <c r="D2042" s="160"/>
    </row>
    <row r="2043" spans="1:4" x14ac:dyDescent="0.3">
      <c r="A2043" s="157">
        <v>42318</v>
      </c>
      <c r="B2043" s="158">
        <v>10358.65</v>
      </c>
      <c r="C2043"/>
      <c r="D2043" s="160"/>
    </row>
    <row r="2044" spans="1:4" x14ac:dyDescent="0.3">
      <c r="A2044" s="157">
        <v>42317</v>
      </c>
      <c r="B2044" s="158">
        <v>10531.91</v>
      </c>
      <c r="C2044"/>
      <c r="D2044" s="160"/>
    </row>
    <row r="2045" spans="1:4" x14ac:dyDescent="0.3">
      <c r="A2045" s="157">
        <v>42314</v>
      </c>
      <c r="B2045" s="158">
        <v>10583.88</v>
      </c>
      <c r="C2045"/>
      <c r="D2045" s="160"/>
    </row>
    <row r="2046" spans="1:4" x14ac:dyDescent="0.3">
      <c r="A2046" s="157">
        <v>42313</v>
      </c>
      <c r="B2046" s="158">
        <v>10585.41</v>
      </c>
      <c r="C2046"/>
      <c r="D2046" s="160"/>
    </row>
    <row r="2047" spans="1:4" x14ac:dyDescent="0.3">
      <c r="A2047" s="157">
        <v>42312</v>
      </c>
      <c r="B2047" s="158">
        <v>10698.19</v>
      </c>
      <c r="C2047"/>
      <c r="D2047" s="160"/>
    </row>
    <row r="2048" spans="1:4" x14ac:dyDescent="0.3">
      <c r="A2048" s="157">
        <v>42311</v>
      </c>
      <c r="B2048" s="158">
        <v>10725.48</v>
      </c>
      <c r="C2048"/>
      <c r="D2048" s="160"/>
    </row>
    <row r="2049" spans="1:4" x14ac:dyDescent="0.3">
      <c r="A2049" s="157">
        <v>42310</v>
      </c>
      <c r="B2049" s="158">
        <v>10712.32</v>
      </c>
      <c r="C2049"/>
      <c r="D2049" s="160"/>
    </row>
    <row r="2050" spans="1:4" x14ac:dyDescent="0.3">
      <c r="A2050" s="157">
        <v>42307</v>
      </c>
      <c r="B2050" s="158">
        <v>10732.25</v>
      </c>
      <c r="C2050"/>
      <c r="D2050" s="160"/>
    </row>
    <row r="2051" spans="1:4" x14ac:dyDescent="0.3">
      <c r="A2051" s="157">
        <v>42306</v>
      </c>
      <c r="B2051" s="158">
        <v>10792.35</v>
      </c>
      <c r="C2051"/>
      <c r="D2051" s="160"/>
    </row>
    <row r="2052" spans="1:4" x14ac:dyDescent="0.3">
      <c r="A2052" s="157">
        <v>42305</v>
      </c>
      <c r="B2052" s="158">
        <v>10871.42</v>
      </c>
      <c r="C2052"/>
      <c r="D2052" s="160"/>
    </row>
    <row r="2053" spans="1:4" x14ac:dyDescent="0.3">
      <c r="A2053" s="157">
        <v>42304</v>
      </c>
      <c r="B2053" s="158">
        <v>10953.26</v>
      </c>
      <c r="C2053"/>
      <c r="D2053" s="160"/>
    </row>
    <row r="2054" spans="1:4" x14ac:dyDescent="0.3">
      <c r="A2054" s="157">
        <v>42303</v>
      </c>
      <c r="B2054" s="158">
        <v>10990.02</v>
      </c>
      <c r="C2054"/>
      <c r="D2054" s="160"/>
    </row>
    <row r="2055" spans="1:4" x14ac:dyDescent="0.3">
      <c r="A2055" s="157">
        <v>42300</v>
      </c>
      <c r="B2055" s="158">
        <v>11036.44</v>
      </c>
      <c r="C2055"/>
      <c r="D2055" s="160"/>
    </row>
    <row r="2056" spans="1:4" x14ac:dyDescent="0.3">
      <c r="A2056" s="157">
        <v>42298</v>
      </c>
      <c r="B2056" s="158">
        <v>10976.65</v>
      </c>
      <c r="C2056"/>
      <c r="D2056" s="160"/>
    </row>
    <row r="2057" spans="1:4" x14ac:dyDescent="0.3">
      <c r="A2057" s="157">
        <v>42297</v>
      </c>
      <c r="B2057" s="158">
        <v>10989</v>
      </c>
      <c r="C2057"/>
      <c r="D2057" s="160"/>
    </row>
    <row r="2058" spans="1:4" x14ac:dyDescent="0.3">
      <c r="A2058" s="157">
        <v>42296</v>
      </c>
      <c r="B2058" s="158">
        <v>11006.79</v>
      </c>
      <c r="C2058"/>
      <c r="D2058" s="160"/>
    </row>
    <row r="2059" spans="1:4" x14ac:dyDescent="0.3">
      <c r="A2059" s="157">
        <v>42293</v>
      </c>
      <c r="B2059" s="158">
        <v>10956.47</v>
      </c>
      <c r="C2059"/>
      <c r="D2059" s="160"/>
    </row>
    <row r="2060" spans="1:4" x14ac:dyDescent="0.3">
      <c r="A2060" s="157">
        <v>42292</v>
      </c>
      <c r="B2060" s="158">
        <v>10872.82</v>
      </c>
      <c r="C2060"/>
      <c r="D2060" s="160"/>
    </row>
    <row r="2061" spans="1:4" x14ac:dyDescent="0.3">
      <c r="A2061" s="157">
        <v>42291</v>
      </c>
      <c r="B2061" s="158">
        <v>10777.67</v>
      </c>
      <c r="C2061"/>
      <c r="D2061" s="160"/>
    </row>
    <row r="2062" spans="1:4" x14ac:dyDescent="0.3">
      <c r="A2062" s="157">
        <v>42290</v>
      </c>
      <c r="B2062" s="158">
        <v>10809.32</v>
      </c>
      <c r="C2062"/>
      <c r="D2062" s="160"/>
    </row>
    <row r="2063" spans="1:4" x14ac:dyDescent="0.3">
      <c r="A2063" s="157">
        <v>42289</v>
      </c>
      <c r="B2063" s="158">
        <v>10825.14</v>
      </c>
      <c r="C2063"/>
      <c r="D2063" s="160"/>
    </row>
    <row r="2064" spans="1:4" x14ac:dyDescent="0.3">
      <c r="A2064" s="157">
        <v>42286</v>
      </c>
      <c r="B2064" s="158">
        <v>10886.38</v>
      </c>
      <c r="C2064"/>
      <c r="D2064" s="160"/>
    </row>
    <row r="2065" spans="1:4" x14ac:dyDescent="0.3">
      <c r="A2065" s="157">
        <v>42285</v>
      </c>
      <c r="B2065" s="158">
        <v>10806.18</v>
      </c>
      <c r="C2065"/>
      <c r="D2065" s="160"/>
    </row>
    <row r="2066" spans="1:4" x14ac:dyDescent="0.3">
      <c r="A2066" s="157">
        <v>42284</v>
      </c>
      <c r="B2066" s="158">
        <v>10870.04</v>
      </c>
      <c r="C2066"/>
      <c r="D2066" s="160"/>
    </row>
    <row r="2067" spans="1:4" x14ac:dyDescent="0.3">
      <c r="A2067" s="157">
        <v>42283</v>
      </c>
      <c r="B2067" s="158">
        <v>10837.5</v>
      </c>
      <c r="C2067"/>
      <c r="D2067" s="160"/>
    </row>
    <row r="2068" spans="1:4" x14ac:dyDescent="0.3">
      <c r="A2068" s="157">
        <v>42282</v>
      </c>
      <c r="B2068" s="158">
        <v>10792.79</v>
      </c>
      <c r="C2068"/>
      <c r="D2068" s="160"/>
    </row>
    <row r="2069" spans="1:4" x14ac:dyDescent="0.3">
      <c r="A2069" s="157">
        <v>42278</v>
      </c>
      <c r="B2069" s="158">
        <v>10568.94</v>
      </c>
      <c r="C2069"/>
      <c r="D2069" s="160"/>
    </row>
    <row r="2070" spans="1:4" x14ac:dyDescent="0.3">
      <c r="A2070" s="157">
        <v>42277</v>
      </c>
      <c r="B2070" s="158">
        <v>10566.29</v>
      </c>
      <c r="C2070"/>
      <c r="D2070" s="160"/>
    </row>
    <row r="2071" spans="1:4" x14ac:dyDescent="0.3">
      <c r="A2071" s="157">
        <v>42276</v>
      </c>
      <c r="B2071" s="158">
        <v>10425.93</v>
      </c>
      <c r="C2071"/>
      <c r="D2071" s="160"/>
    </row>
    <row r="2072" spans="1:4" x14ac:dyDescent="0.3">
      <c r="A2072" s="157">
        <v>42275</v>
      </c>
      <c r="B2072" s="158">
        <v>10362.68</v>
      </c>
      <c r="C2072"/>
      <c r="D2072" s="160"/>
    </row>
    <row r="2073" spans="1:4" x14ac:dyDescent="0.3">
      <c r="A2073" s="157">
        <v>42271</v>
      </c>
      <c r="B2073" s="158">
        <v>10459.44</v>
      </c>
      <c r="C2073"/>
      <c r="D2073" s="160"/>
    </row>
    <row r="2074" spans="1:4" x14ac:dyDescent="0.3">
      <c r="A2074" s="157">
        <v>42270</v>
      </c>
      <c r="B2074" s="158">
        <v>10429.44</v>
      </c>
      <c r="C2074"/>
      <c r="D2074" s="160"/>
    </row>
    <row r="2075" spans="1:4" x14ac:dyDescent="0.3">
      <c r="A2075" s="157">
        <v>42269</v>
      </c>
      <c r="B2075" s="158">
        <v>10384.35</v>
      </c>
      <c r="C2075"/>
      <c r="D2075" s="160"/>
    </row>
    <row r="2076" spans="1:4" x14ac:dyDescent="0.3">
      <c r="A2076" s="157">
        <v>42268</v>
      </c>
      <c r="B2076" s="158">
        <v>10603.8</v>
      </c>
      <c r="C2076"/>
      <c r="D2076" s="160"/>
    </row>
    <row r="2077" spans="1:4" x14ac:dyDescent="0.3">
      <c r="A2077" s="157">
        <v>42265</v>
      </c>
      <c r="B2077" s="158">
        <v>10609.87</v>
      </c>
      <c r="C2077"/>
      <c r="D2077" s="160"/>
    </row>
    <row r="2078" spans="1:4" x14ac:dyDescent="0.3">
      <c r="A2078" s="157">
        <v>42263</v>
      </c>
      <c r="B2078" s="158">
        <v>10499.73</v>
      </c>
      <c r="C2078"/>
      <c r="D2078" s="160"/>
    </row>
    <row r="2079" spans="1:4" x14ac:dyDescent="0.3">
      <c r="A2079" s="157">
        <v>42262</v>
      </c>
      <c r="B2079" s="158">
        <v>10406.56</v>
      </c>
      <c r="C2079"/>
      <c r="D2079" s="160"/>
    </row>
    <row r="2080" spans="1:4" x14ac:dyDescent="0.3">
      <c r="A2080" s="157">
        <v>42261</v>
      </c>
      <c r="B2080" s="158">
        <v>10463.93</v>
      </c>
      <c r="C2080"/>
      <c r="D2080" s="160"/>
    </row>
    <row r="2081" spans="1:4" x14ac:dyDescent="0.3">
      <c r="A2081" s="157">
        <v>42258</v>
      </c>
      <c r="B2081" s="158">
        <v>10353.540000000001</v>
      </c>
      <c r="C2081"/>
      <c r="D2081" s="160"/>
    </row>
    <row r="2082" spans="1:4" x14ac:dyDescent="0.3">
      <c r="A2082" s="157">
        <v>42257</v>
      </c>
      <c r="B2082" s="158">
        <v>10351.93</v>
      </c>
      <c r="C2082"/>
      <c r="D2082" s="160"/>
    </row>
    <row r="2083" spans="1:4" x14ac:dyDescent="0.3">
      <c r="A2083" s="157">
        <v>42256</v>
      </c>
      <c r="B2083" s="158">
        <v>10392.450000000001</v>
      </c>
      <c r="C2083"/>
      <c r="D2083" s="160"/>
    </row>
    <row r="2084" spans="1:4" x14ac:dyDescent="0.3">
      <c r="A2084" s="157">
        <v>42255</v>
      </c>
      <c r="B2084" s="158">
        <v>10219.209999999999</v>
      </c>
      <c r="C2084"/>
      <c r="D2084" s="160"/>
    </row>
    <row r="2085" spans="1:4" x14ac:dyDescent="0.3">
      <c r="A2085" s="157">
        <v>42254</v>
      </c>
      <c r="B2085" s="158">
        <v>10047.15</v>
      </c>
      <c r="C2085"/>
      <c r="D2085" s="160"/>
    </row>
    <row r="2086" spans="1:4" x14ac:dyDescent="0.3">
      <c r="A2086" s="157">
        <v>42251</v>
      </c>
      <c r="B2086" s="158">
        <v>10173.65</v>
      </c>
      <c r="C2086"/>
      <c r="D2086" s="160"/>
    </row>
    <row r="2087" spans="1:4" x14ac:dyDescent="0.3">
      <c r="A2087" s="157">
        <v>42250</v>
      </c>
      <c r="B2087" s="158">
        <v>10396.83</v>
      </c>
      <c r="C2087"/>
      <c r="D2087" s="160"/>
    </row>
    <row r="2088" spans="1:4" x14ac:dyDescent="0.3">
      <c r="A2088" s="157">
        <v>42249</v>
      </c>
      <c r="B2088" s="158">
        <v>10254.61</v>
      </c>
      <c r="C2088"/>
      <c r="D2088" s="160"/>
    </row>
    <row r="2089" spans="1:4" x14ac:dyDescent="0.3">
      <c r="A2089" s="157">
        <v>42248</v>
      </c>
      <c r="B2089" s="158">
        <v>10346.16</v>
      </c>
      <c r="C2089"/>
      <c r="D2089" s="160"/>
    </row>
    <row r="2090" spans="1:4" x14ac:dyDescent="0.3">
      <c r="A2090" s="157">
        <v>42247</v>
      </c>
      <c r="B2090" s="158">
        <v>10588.8</v>
      </c>
      <c r="C2090"/>
      <c r="D2090" s="160"/>
    </row>
    <row r="2091" spans="1:4" x14ac:dyDescent="0.3">
      <c r="A2091" s="157">
        <v>42244</v>
      </c>
      <c r="B2091" s="158">
        <v>10629.49</v>
      </c>
      <c r="C2091"/>
      <c r="D2091" s="160"/>
    </row>
    <row r="2092" spans="1:4" x14ac:dyDescent="0.3">
      <c r="A2092" s="157">
        <v>42243</v>
      </c>
      <c r="B2092" s="158">
        <v>10557.5</v>
      </c>
      <c r="C2092"/>
      <c r="D2092" s="160"/>
    </row>
    <row r="2093" spans="1:4" x14ac:dyDescent="0.3">
      <c r="A2093" s="157">
        <v>42242</v>
      </c>
      <c r="B2093" s="158">
        <v>10348.4</v>
      </c>
      <c r="C2093"/>
      <c r="D2093" s="160"/>
    </row>
    <row r="2094" spans="1:4" x14ac:dyDescent="0.3">
      <c r="A2094" s="157">
        <v>42241</v>
      </c>
      <c r="B2094" s="158">
        <v>10465.459999999999</v>
      </c>
      <c r="C2094"/>
      <c r="D2094" s="160"/>
    </row>
    <row r="2095" spans="1:4" x14ac:dyDescent="0.3">
      <c r="A2095" s="157">
        <v>42240</v>
      </c>
      <c r="B2095" s="158">
        <v>10370.27</v>
      </c>
      <c r="C2095"/>
      <c r="D2095" s="160"/>
    </row>
    <row r="2096" spans="1:4" x14ac:dyDescent="0.3">
      <c r="A2096" s="157">
        <v>42237</v>
      </c>
      <c r="B2096" s="158">
        <v>11022.22</v>
      </c>
      <c r="C2096"/>
      <c r="D2096" s="160"/>
    </row>
    <row r="2097" spans="1:4" x14ac:dyDescent="0.3">
      <c r="A2097" s="157">
        <v>42236</v>
      </c>
      <c r="B2097" s="158">
        <v>11118.95</v>
      </c>
      <c r="C2097"/>
      <c r="D2097" s="160"/>
    </row>
    <row r="2098" spans="1:4" x14ac:dyDescent="0.3">
      <c r="A2098" s="157">
        <v>42235</v>
      </c>
      <c r="B2098" s="158">
        <v>11281.26</v>
      </c>
      <c r="C2098"/>
      <c r="D2098" s="160"/>
    </row>
    <row r="2099" spans="1:4" x14ac:dyDescent="0.3">
      <c r="A2099" s="157">
        <v>42234</v>
      </c>
      <c r="B2099" s="158">
        <v>11243.28</v>
      </c>
      <c r="C2099"/>
      <c r="D2099" s="160"/>
    </row>
    <row r="2100" spans="1:4" x14ac:dyDescent="0.3">
      <c r="A2100" s="157">
        <v>42233</v>
      </c>
      <c r="B2100" s="158">
        <v>11257.56</v>
      </c>
      <c r="C2100"/>
      <c r="D2100" s="160"/>
    </row>
    <row r="2101" spans="1:4" x14ac:dyDescent="0.3">
      <c r="A2101" s="157">
        <v>42230</v>
      </c>
      <c r="B2101" s="158">
        <v>11312.32</v>
      </c>
      <c r="C2101"/>
      <c r="D2101" s="160"/>
    </row>
    <row r="2102" spans="1:4" x14ac:dyDescent="0.3">
      <c r="A2102" s="157">
        <v>42229</v>
      </c>
      <c r="B2102" s="158">
        <v>11095.98</v>
      </c>
      <c r="C2102"/>
      <c r="D2102" s="160"/>
    </row>
    <row r="2103" spans="1:4" x14ac:dyDescent="0.3">
      <c r="A2103" s="157">
        <v>42228</v>
      </c>
      <c r="B2103" s="158">
        <v>11086.67</v>
      </c>
      <c r="C2103"/>
      <c r="D2103" s="160"/>
    </row>
    <row r="2104" spans="1:4" x14ac:dyDescent="0.3">
      <c r="A2104" s="157">
        <v>42227</v>
      </c>
      <c r="B2104" s="158">
        <v>11236.57</v>
      </c>
      <c r="C2104"/>
      <c r="D2104" s="160"/>
    </row>
    <row r="2105" spans="1:4" x14ac:dyDescent="0.3">
      <c r="A2105" s="157">
        <v>42226</v>
      </c>
      <c r="B2105" s="158">
        <v>11320.25</v>
      </c>
      <c r="C2105"/>
      <c r="D2105" s="160"/>
    </row>
    <row r="2106" spans="1:4" x14ac:dyDescent="0.3">
      <c r="A2106" s="157">
        <v>42223</v>
      </c>
      <c r="B2106" s="158">
        <v>11372.02</v>
      </c>
      <c r="C2106"/>
      <c r="D2106" s="160"/>
    </row>
    <row r="2107" spans="1:4" x14ac:dyDescent="0.3">
      <c r="A2107" s="157">
        <v>42222</v>
      </c>
      <c r="B2107" s="158">
        <v>11402.67</v>
      </c>
      <c r="C2107"/>
      <c r="D2107" s="160"/>
    </row>
    <row r="2108" spans="1:4" x14ac:dyDescent="0.3">
      <c r="A2108" s="157">
        <v>42221</v>
      </c>
      <c r="B2108" s="158">
        <v>11375.18</v>
      </c>
      <c r="C2108"/>
      <c r="D2108" s="160"/>
    </row>
    <row r="2109" spans="1:4" x14ac:dyDescent="0.3">
      <c r="A2109" s="157">
        <v>42220</v>
      </c>
      <c r="B2109" s="158">
        <v>11307.41</v>
      </c>
      <c r="C2109"/>
      <c r="D2109" s="160"/>
    </row>
    <row r="2110" spans="1:4" x14ac:dyDescent="0.3">
      <c r="A2110" s="157">
        <v>42219</v>
      </c>
      <c r="B2110" s="158">
        <v>11342.11</v>
      </c>
      <c r="C2110"/>
      <c r="D2110" s="160"/>
    </row>
    <row r="2111" spans="1:4" x14ac:dyDescent="0.3">
      <c r="A2111" s="157">
        <v>42216</v>
      </c>
      <c r="B2111" s="158">
        <v>11328.56</v>
      </c>
      <c r="C2111"/>
      <c r="D2111" s="160"/>
    </row>
    <row r="2112" spans="1:4" x14ac:dyDescent="0.3">
      <c r="A2112" s="157">
        <v>42215</v>
      </c>
      <c r="B2112" s="158">
        <v>11180.79</v>
      </c>
      <c r="C2112"/>
      <c r="D2112" s="160"/>
    </row>
    <row r="2113" spans="1:4" x14ac:dyDescent="0.3">
      <c r="A2113" s="157">
        <v>42214</v>
      </c>
      <c r="B2113" s="158">
        <v>11118.71</v>
      </c>
      <c r="C2113"/>
      <c r="D2113" s="160"/>
    </row>
    <row r="2114" spans="1:4" x14ac:dyDescent="0.3">
      <c r="A2114" s="157">
        <v>42213</v>
      </c>
      <c r="B2114" s="158">
        <v>11068.18</v>
      </c>
      <c r="C2114"/>
      <c r="D2114" s="160"/>
    </row>
    <row r="2115" spans="1:4" x14ac:dyDescent="0.3">
      <c r="A2115" s="157">
        <v>42212</v>
      </c>
      <c r="B2115" s="158">
        <v>11100.03</v>
      </c>
      <c r="C2115"/>
      <c r="D2115" s="160"/>
    </row>
    <row r="2116" spans="1:4" x14ac:dyDescent="0.3">
      <c r="A2116" s="157">
        <v>42209</v>
      </c>
      <c r="B2116" s="158">
        <v>11313.22</v>
      </c>
      <c r="C2116"/>
      <c r="D2116" s="160"/>
    </row>
    <row r="2117" spans="1:4" x14ac:dyDescent="0.3">
      <c r="A2117" s="157">
        <v>42208</v>
      </c>
      <c r="B2117" s="158">
        <v>11403.83</v>
      </c>
      <c r="C2117"/>
      <c r="D2117" s="160"/>
    </row>
    <row r="2118" spans="1:4" x14ac:dyDescent="0.3">
      <c r="A2118" s="157">
        <v>42207</v>
      </c>
      <c r="B2118" s="158">
        <v>11459.27</v>
      </c>
      <c r="C2118"/>
      <c r="D2118" s="160"/>
    </row>
    <row r="2119" spans="1:4" x14ac:dyDescent="0.3">
      <c r="A2119" s="157">
        <v>42206</v>
      </c>
      <c r="B2119" s="158">
        <v>11320.88</v>
      </c>
      <c r="C2119"/>
      <c r="D2119" s="160"/>
    </row>
    <row r="2120" spans="1:4" x14ac:dyDescent="0.3">
      <c r="A2120" s="157">
        <v>42205</v>
      </c>
      <c r="B2120" s="158">
        <v>11419.13</v>
      </c>
      <c r="C2120"/>
      <c r="D2120" s="160"/>
    </row>
    <row r="2121" spans="1:4" x14ac:dyDescent="0.3">
      <c r="A2121" s="157">
        <v>42202</v>
      </c>
      <c r="B2121" s="158">
        <v>11424.87</v>
      </c>
      <c r="C2121"/>
      <c r="D2121" s="160"/>
    </row>
    <row r="2122" spans="1:4" x14ac:dyDescent="0.3">
      <c r="A2122" s="157">
        <v>42201</v>
      </c>
      <c r="B2122" s="158">
        <v>11422.48</v>
      </c>
      <c r="C2122"/>
      <c r="D2122" s="160"/>
    </row>
    <row r="2123" spans="1:4" x14ac:dyDescent="0.3">
      <c r="A2123" s="157">
        <v>42200</v>
      </c>
      <c r="B2123" s="158">
        <v>11309.1</v>
      </c>
      <c r="C2123"/>
      <c r="D2123" s="160"/>
    </row>
    <row r="2124" spans="1:4" x14ac:dyDescent="0.3">
      <c r="A2124" s="157">
        <v>42199</v>
      </c>
      <c r="B2124" s="158">
        <v>11210.85</v>
      </c>
      <c r="C2124"/>
      <c r="D2124" s="160"/>
    </row>
    <row r="2125" spans="1:4" x14ac:dyDescent="0.3">
      <c r="A2125" s="157">
        <v>42198</v>
      </c>
      <c r="B2125" s="158">
        <v>11217.67</v>
      </c>
      <c r="C2125"/>
      <c r="D2125" s="160"/>
    </row>
    <row r="2126" spans="1:4" x14ac:dyDescent="0.3">
      <c r="A2126" s="157">
        <v>42195</v>
      </c>
      <c r="B2126" s="158">
        <v>11086.29</v>
      </c>
      <c r="C2126"/>
      <c r="D2126" s="160"/>
    </row>
    <row r="2127" spans="1:4" x14ac:dyDescent="0.3">
      <c r="A2127" s="157">
        <v>42194</v>
      </c>
      <c r="B2127" s="158">
        <v>11043.14</v>
      </c>
      <c r="C2127"/>
      <c r="D2127" s="160"/>
    </row>
    <row r="2128" spans="1:4" x14ac:dyDescent="0.3">
      <c r="A2128" s="157">
        <v>42193</v>
      </c>
      <c r="B2128" s="158">
        <v>11084.34</v>
      </c>
      <c r="C2128"/>
      <c r="D2128" s="160"/>
    </row>
    <row r="2129" spans="1:4" x14ac:dyDescent="0.3">
      <c r="A2129" s="157">
        <v>42192</v>
      </c>
      <c r="B2129" s="158">
        <v>11279.56</v>
      </c>
      <c r="C2129"/>
      <c r="D2129" s="160"/>
    </row>
    <row r="2130" spans="1:4" x14ac:dyDescent="0.3">
      <c r="A2130" s="157">
        <v>42191</v>
      </c>
      <c r="B2130" s="158">
        <v>11294.6</v>
      </c>
      <c r="C2130"/>
      <c r="D2130" s="160"/>
    </row>
    <row r="2131" spans="1:4" x14ac:dyDescent="0.3">
      <c r="A2131" s="157">
        <v>42188</v>
      </c>
      <c r="B2131" s="158">
        <v>11244.49</v>
      </c>
      <c r="C2131"/>
      <c r="D2131" s="160"/>
    </row>
    <row r="2132" spans="1:4" x14ac:dyDescent="0.3">
      <c r="A2132" s="157">
        <v>42187</v>
      </c>
      <c r="B2132" s="158">
        <v>11191.5</v>
      </c>
      <c r="C2132"/>
      <c r="D2132" s="160"/>
    </row>
    <row r="2133" spans="1:4" x14ac:dyDescent="0.3">
      <c r="A2133" s="157">
        <v>42186</v>
      </c>
      <c r="B2133" s="158">
        <v>11197.83</v>
      </c>
      <c r="C2133"/>
      <c r="D2133" s="160"/>
    </row>
    <row r="2134" spans="1:4" x14ac:dyDescent="0.3">
      <c r="A2134" s="157">
        <v>42185</v>
      </c>
      <c r="B2134" s="158">
        <v>11085.87</v>
      </c>
      <c r="C2134"/>
      <c r="D2134" s="160"/>
    </row>
    <row r="2135" spans="1:4" x14ac:dyDescent="0.3">
      <c r="A2135" s="157">
        <v>42184</v>
      </c>
      <c r="B2135" s="158">
        <v>11019.47</v>
      </c>
      <c r="C2135"/>
      <c r="D2135" s="160"/>
    </row>
    <row r="2136" spans="1:4" x14ac:dyDescent="0.3">
      <c r="A2136" s="157">
        <v>42181</v>
      </c>
      <c r="B2136" s="158">
        <v>11102.52</v>
      </c>
      <c r="C2136"/>
      <c r="D2136" s="160"/>
    </row>
    <row r="2137" spans="1:4" x14ac:dyDescent="0.3">
      <c r="A2137" s="157">
        <v>42180</v>
      </c>
      <c r="B2137" s="158">
        <v>11124.95</v>
      </c>
      <c r="C2137"/>
      <c r="D2137" s="160"/>
    </row>
    <row r="2138" spans="1:4" x14ac:dyDescent="0.3">
      <c r="A2138" s="157">
        <v>42179</v>
      </c>
      <c r="B2138" s="158">
        <v>11075.71</v>
      </c>
      <c r="C2138"/>
      <c r="D2138" s="160"/>
    </row>
    <row r="2139" spans="1:4" x14ac:dyDescent="0.3">
      <c r="A2139" s="157">
        <v>42178</v>
      </c>
      <c r="B2139" s="158">
        <v>11102.6</v>
      </c>
      <c r="C2139"/>
      <c r="D2139" s="160"/>
    </row>
    <row r="2140" spans="1:4" x14ac:dyDescent="0.3">
      <c r="A2140" s="157">
        <v>42177</v>
      </c>
      <c r="B2140" s="158">
        <v>11064.89</v>
      </c>
      <c r="C2140"/>
      <c r="D2140" s="160"/>
    </row>
    <row r="2141" spans="1:4" x14ac:dyDescent="0.3">
      <c r="A2141" s="157">
        <v>42174</v>
      </c>
      <c r="B2141" s="158">
        <v>10894.44</v>
      </c>
      <c r="C2141"/>
      <c r="D2141" s="160"/>
    </row>
    <row r="2142" spans="1:4" x14ac:dyDescent="0.3">
      <c r="A2142" s="157">
        <v>42173</v>
      </c>
      <c r="B2142" s="158">
        <v>10825.96</v>
      </c>
      <c r="C2142"/>
      <c r="D2142" s="160"/>
    </row>
    <row r="2143" spans="1:4" x14ac:dyDescent="0.3">
      <c r="A2143" s="157">
        <v>42172</v>
      </c>
      <c r="B2143" s="158">
        <v>10715.85</v>
      </c>
      <c r="C2143"/>
      <c r="D2143" s="160"/>
    </row>
    <row r="2144" spans="1:4" x14ac:dyDescent="0.3">
      <c r="A2144" s="157">
        <v>42171</v>
      </c>
      <c r="B2144" s="158">
        <v>10657.23</v>
      </c>
      <c r="C2144"/>
      <c r="D2144" s="160"/>
    </row>
    <row r="2145" spans="1:4" x14ac:dyDescent="0.3">
      <c r="A2145" s="157">
        <v>42170</v>
      </c>
      <c r="B2145" s="158">
        <v>10612.12</v>
      </c>
      <c r="C2145"/>
      <c r="D2145" s="160"/>
    </row>
    <row r="2146" spans="1:4" x14ac:dyDescent="0.3">
      <c r="A2146" s="157">
        <v>42167</v>
      </c>
      <c r="B2146" s="158">
        <v>10562.76</v>
      </c>
      <c r="C2146"/>
      <c r="D2146" s="160"/>
    </row>
    <row r="2147" spans="1:4" x14ac:dyDescent="0.3">
      <c r="A2147" s="157">
        <v>42166</v>
      </c>
      <c r="B2147" s="158">
        <v>10539.53</v>
      </c>
      <c r="C2147"/>
      <c r="D2147" s="160"/>
    </row>
    <row r="2148" spans="1:4" x14ac:dyDescent="0.3">
      <c r="A2148" s="157">
        <v>42165</v>
      </c>
      <c r="B2148" s="158">
        <v>10750.07</v>
      </c>
      <c r="C2148"/>
      <c r="D2148" s="160"/>
    </row>
    <row r="2149" spans="1:4" x14ac:dyDescent="0.3">
      <c r="A2149" s="157">
        <v>42164</v>
      </c>
      <c r="B2149" s="158">
        <v>10615.01</v>
      </c>
      <c r="C2149"/>
      <c r="D2149" s="160"/>
    </row>
    <row r="2150" spans="1:4" x14ac:dyDescent="0.3">
      <c r="A2150" s="157">
        <v>42163</v>
      </c>
      <c r="B2150" s="158">
        <v>10643.82</v>
      </c>
      <c r="C2150"/>
      <c r="D2150" s="160"/>
    </row>
    <row r="2151" spans="1:4" x14ac:dyDescent="0.3">
      <c r="A2151" s="157">
        <v>42160</v>
      </c>
      <c r="B2151" s="158">
        <v>10737.17</v>
      </c>
      <c r="C2151"/>
      <c r="D2151" s="160"/>
    </row>
    <row r="2152" spans="1:4" x14ac:dyDescent="0.3">
      <c r="A2152" s="157">
        <v>42159</v>
      </c>
      <c r="B2152" s="158">
        <v>10754.83</v>
      </c>
      <c r="C2152"/>
      <c r="D2152" s="160"/>
    </row>
    <row r="2153" spans="1:4" x14ac:dyDescent="0.3">
      <c r="A2153" s="157">
        <v>42158</v>
      </c>
      <c r="B2153" s="158">
        <v>10752.52</v>
      </c>
      <c r="C2153"/>
      <c r="D2153" s="160"/>
    </row>
    <row r="2154" spans="1:4" x14ac:dyDescent="0.3">
      <c r="A2154" s="157">
        <v>42157</v>
      </c>
      <c r="B2154" s="158">
        <v>10876.52</v>
      </c>
      <c r="C2154"/>
      <c r="D2154" s="160"/>
    </row>
    <row r="2155" spans="1:4" x14ac:dyDescent="0.3">
      <c r="A2155" s="157">
        <v>42156</v>
      </c>
      <c r="B2155" s="158">
        <v>11136.64</v>
      </c>
      <c r="C2155"/>
      <c r="D2155" s="160"/>
    </row>
    <row r="2156" spans="1:4" x14ac:dyDescent="0.3">
      <c r="A2156" s="157">
        <v>42153</v>
      </c>
      <c r="B2156" s="158">
        <v>11135.85</v>
      </c>
      <c r="C2156"/>
      <c r="D2156" s="160"/>
    </row>
    <row r="2157" spans="1:4" x14ac:dyDescent="0.3">
      <c r="A2157" s="157">
        <v>42152</v>
      </c>
      <c r="B2157" s="158">
        <v>10984.45</v>
      </c>
      <c r="C2157"/>
      <c r="D2157" s="160"/>
    </row>
    <row r="2158" spans="1:4" x14ac:dyDescent="0.3">
      <c r="A2158" s="157">
        <v>42151</v>
      </c>
      <c r="B2158" s="158">
        <v>11001.96</v>
      </c>
      <c r="C2158"/>
      <c r="D2158" s="160"/>
    </row>
    <row r="2159" spans="1:4" x14ac:dyDescent="0.3">
      <c r="A2159" s="157">
        <v>42150</v>
      </c>
      <c r="B2159" s="158">
        <v>11008.25</v>
      </c>
      <c r="C2159"/>
      <c r="D2159" s="160"/>
    </row>
    <row r="2160" spans="1:4" x14ac:dyDescent="0.3">
      <c r="A2160" s="157">
        <v>42149</v>
      </c>
      <c r="B2160" s="158">
        <v>11049</v>
      </c>
      <c r="C2160"/>
      <c r="D2160" s="160"/>
    </row>
    <row r="2161" spans="1:4" x14ac:dyDescent="0.3">
      <c r="A2161" s="157">
        <v>42146</v>
      </c>
      <c r="B2161" s="158">
        <v>11166.12</v>
      </c>
      <c r="C2161"/>
      <c r="D2161" s="160"/>
    </row>
    <row r="2162" spans="1:4" x14ac:dyDescent="0.3">
      <c r="A2162" s="157">
        <v>42145</v>
      </c>
      <c r="B2162" s="158">
        <v>11116</v>
      </c>
      <c r="C2162"/>
      <c r="D2162" s="160"/>
    </row>
    <row r="2163" spans="1:4" x14ac:dyDescent="0.3">
      <c r="A2163" s="157">
        <v>42144</v>
      </c>
      <c r="B2163" s="158">
        <v>11118.14</v>
      </c>
      <c r="C2163"/>
      <c r="D2163" s="160"/>
    </row>
    <row r="2164" spans="1:4" x14ac:dyDescent="0.3">
      <c r="A2164" s="157">
        <v>42143</v>
      </c>
      <c r="B2164" s="158">
        <v>11042.12</v>
      </c>
      <c r="C2164"/>
      <c r="D2164" s="160"/>
    </row>
    <row r="2165" spans="1:4" x14ac:dyDescent="0.3">
      <c r="A2165" s="157">
        <v>42142</v>
      </c>
      <c r="B2165" s="158">
        <v>11052.7</v>
      </c>
      <c r="C2165"/>
      <c r="D2165" s="160"/>
    </row>
    <row r="2166" spans="1:4" x14ac:dyDescent="0.3">
      <c r="A2166" s="157">
        <v>42139</v>
      </c>
      <c r="B2166" s="158">
        <v>10905.75</v>
      </c>
      <c r="C2166"/>
      <c r="D2166" s="160"/>
    </row>
    <row r="2167" spans="1:4" x14ac:dyDescent="0.3">
      <c r="A2167" s="157">
        <v>42138</v>
      </c>
      <c r="B2167" s="158">
        <v>10855.42</v>
      </c>
      <c r="C2167"/>
      <c r="D2167" s="160"/>
    </row>
    <row r="2168" spans="1:4" x14ac:dyDescent="0.3">
      <c r="A2168" s="157">
        <v>42137</v>
      </c>
      <c r="B2168" s="158">
        <v>10870.3</v>
      </c>
      <c r="C2168"/>
      <c r="D2168" s="160"/>
    </row>
    <row r="2169" spans="1:4" x14ac:dyDescent="0.3">
      <c r="A2169" s="157">
        <v>42136</v>
      </c>
      <c r="B2169" s="158">
        <v>10727.03</v>
      </c>
      <c r="C2169"/>
      <c r="D2169" s="160"/>
    </row>
    <row r="2170" spans="1:4" x14ac:dyDescent="0.3">
      <c r="A2170" s="157">
        <v>42135</v>
      </c>
      <c r="B2170" s="158">
        <v>10988.82</v>
      </c>
      <c r="C2170"/>
      <c r="D2170" s="160"/>
    </row>
    <row r="2171" spans="1:4" x14ac:dyDescent="0.3">
      <c r="A2171" s="157">
        <v>42132</v>
      </c>
      <c r="B2171" s="158">
        <v>10812.25</v>
      </c>
      <c r="C2171"/>
      <c r="D2171" s="160"/>
    </row>
    <row r="2172" spans="1:4" x14ac:dyDescent="0.3">
      <c r="A2172" s="157">
        <v>42131</v>
      </c>
      <c r="B2172" s="158">
        <v>10630.43</v>
      </c>
      <c r="C2172"/>
      <c r="D2172" s="160"/>
    </row>
    <row r="2173" spans="1:4" x14ac:dyDescent="0.3">
      <c r="A2173" s="157">
        <v>42130</v>
      </c>
      <c r="B2173" s="158">
        <v>10682.81</v>
      </c>
      <c r="C2173"/>
      <c r="D2173" s="160"/>
    </row>
    <row r="2174" spans="1:4" x14ac:dyDescent="0.3">
      <c r="A2174" s="157">
        <v>42129</v>
      </c>
      <c r="B2174" s="158">
        <v>10983.33</v>
      </c>
      <c r="C2174"/>
      <c r="D2174" s="160"/>
    </row>
    <row r="2175" spans="1:4" x14ac:dyDescent="0.3">
      <c r="A2175" s="157">
        <v>42128</v>
      </c>
      <c r="B2175" s="158">
        <v>10992.81</v>
      </c>
      <c r="C2175"/>
      <c r="D2175" s="160"/>
    </row>
    <row r="2176" spans="1:4" x14ac:dyDescent="0.3">
      <c r="A2176" s="157">
        <v>42124</v>
      </c>
      <c r="B2176" s="158">
        <v>10794.27</v>
      </c>
      <c r="C2176"/>
      <c r="D2176" s="160"/>
    </row>
    <row r="2177" spans="1:4" x14ac:dyDescent="0.3">
      <c r="A2177" s="157">
        <v>42123</v>
      </c>
      <c r="B2177" s="158">
        <v>10871.15</v>
      </c>
      <c r="C2177"/>
      <c r="D2177" s="160"/>
    </row>
    <row r="2178" spans="1:4" x14ac:dyDescent="0.3">
      <c r="A2178" s="157">
        <v>42122</v>
      </c>
      <c r="B2178" s="158">
        <v>10931.63</v>
      </c>
      <c r="C2178"/>
      <c r="D2178" s="160"/>
    </row>
    <row r="2179" spans="1:4" x14ac:dyDescent="0.3">
      <c r="A2179" s="157">
        <v>42121</v>
      </c>
      <c r="B2179" s="158">
        <v>10836.88</v>
      </c>
      <c r="C2179"/>
      <c r="D2179" s="160"/>
    </row>
    <row r="2180" spans="1:4" x14ac:dyDescent="0.3">
      <c r="A2180" s="157">
        <v>42118</v>
      </c>
      <c r="B2180" s="158">
        <v>10957.58</v>
      </c>
      <c r="C2180"/>
      <c r="D2180" s="160"/>
    </row>
    <row r="2181" spans="1:4" x14ac:dyDescent="0.3">
      <c r="A2181" s="157">
        <v>42117</v>
      </c>
      <c r="B2181" s="158">
        <v>11079.67</v>
      </c>
      <c r="C2181"/>
      <c r="D2181" s="160"/>
    </row>
    <row r="2182" spans="1:4" x14ac:dyDescent="0.3">
      <c r="A2182" s="157">
        <v>42116</v>
      </c>
      <c r="B2182" s="158">
        <v>11121.12</v>
      </c>
      <c r="C2182"/>
      <c r="D2182" s="160"/>
    </row>
    <row r="2183" spans="1:4" x14ac:dyDescent="0.3">
      <c r="A2183" s="157">
        <v>42115</v>
      </c>
      <c r="B2183" s="158">
        <v>11052.56</v>
      </c>
      <c r="C2183"/>
      <c r="D2183" s="160"/>
    </row>
    <row r="2184" spans="1:4" x14ac:dyDescent="0.3">
      <c r="A2184" s="157">
        <v>42114</v>
      </c>
      <c r="B2184" s="158">
        <v>11145.37</v>
      </c>
      <c r="C2184"/>
      <c r="D2184" s="160"/>
    </row>
    <row r="2185" spans="1:4" x14ac:dyDescent="0.3">
      <c r="A2185" s="157">
        <v>42111</v>
      </c>
      <c r="B2185" s="158">
        <v>11353.68</v>
      </c>
      <c r="C2185"/>
      <c r="D2185" s="160"/>
    </row>
    <row r="2186" spans="1:4" x14ac:dyDescent="0.3">
      <c r="A2186" s="157">
        <v>42110</v>
      </c>
      <c r="B2186" s="158">
        <v>11486.56</v>
      </c>
      <c r="C2186"/>
      <c r="D2186" s="160"/>
    </row>
    <row r="2187" spans="1:4" x14ac:dyDescent="0.3">
      <c r="A2187" s="157">
        <v>42109</v>
      </c>
      <c r="B2187" s="158">
        <v>11543.96</v>
      </c>
      <c r="C2187"/>
      <c r="D2187" s="160"/>
    </row>
    <row r="2188" spans="1:4" x14ac:dyDescent="0.3">
      <c r="A2188" s="157">
        <v>42107</v>
      </c>
      <c r="B2188" s="158">
        <v>11654.49</v>
      </c>
      <c r="C2188"/>
      <c r="D2188" s="160"/>
    </row>
    <row r="2189" spans="1:4" x14ac:dyDescent="0.3">
      <c r="A2189" s="157">
        <v>42104</v>
      </c>
      <c r="B2189" s="158">
        <v>11583.75</v>
      </c>
      <c r="C2189"/>
      <c r="D2189" s="160"/>
    </row>
    <row r="2190" spans="1:4" x14ac:dyDescent="0.3">
      <c r="A2190" s="157">
        <v>42103</v>
      </c>
      <c r="B2190" s="158">
        <v>11581.01</v>
      </c>
      <c r="C2190"/>
      <c r="D2190" s="160"/>
    </row>
    <row r="2191" spans="1:4" x14ac:dyDescent="0.3">
      <c r="A2191" s="157">
        <v>42102</v>
      </c>
      <c r="B2191" s="158">
        <v>11496.74</v>
      </c>
      <c r="C2191"/>
      <c r="D2191" s="160"/>
    </row>
    <row r="2192" spans="1:4" x14ac:dyDescent="0.3">
      <c r="A2192" s="157">
        <v>42101</v>
      </c>
      <c r="B2192" s="158">
        <v>11425.33</v>
      </c>
      <c r="C2192"/>
      <c r="D2192" s="160"/>
    </row>
    <row r="2193" spans="1:4" x14ac:dyDescent="0.3">
      <c r="A2193" s="157">
        <v>42100</v>
      </c>
      <c r="B2193" s="158">
        <v>11424.83</v>
      </c>
      <c r="C2193"/>
      <c r="D2193" s="160"/>
    </row>
    <row r="2194" spans="1:4" x14ac:dyDescent="0.3">
      <c r="A2194" s="157">
        <v>42095</v>
      </c>
      <c r="B2194" s="158">
        <v>11327.63</v>
      </c>
      <c r="C2194"/>
      <c r="D2194" s="160"/>
    </row>
    <row r="2195" spans="1:4" x14ac:dyDescent="0.3">
      <c r="A2195" s="157">
        <v>42094</v>
      </c>
      <c r="B2195" s="158">
        <v>11201.99</v>
      </c>
      <c r="C2195"/>
      <c r="D2195" s="160"/>
    </row>
    <row r="2196" spans="1:4" x14ac:dyDescent="0.3">
      <c r="A2196" s="157">
        <v>42093</v>
      </c>
      <c r="B2196" s="158">
        <v>11203.71</v>
      </c>
      <c r="C2196"/>
      <c r="D2196" s="160"/>
    </row>
    <row r="2197" spans="1:4" x14ac:dyDescent="0.3">
      <c r="A2197" s="157">
        <v>42090</v>
      </c>
      <c r="B2197" s="158">
        <v>11004.63</v>
      </c>
      <c r="C2197"/>
      <c r="D2197" s="160"/>
    </row>
    <row r="2198" spans="1:4" x14ac:dyDescent="0.3">
      <c r="A2198" s="157">
        <v>42089</v>
      </c>
      <c r="B2198" s="158">
        <v>11005.59</v>
      </c>
      <c r="C2198"/>
      <c r="D2198" s="160"/>
    </row>
    <row r="2199" spans="1:4" x14ac:dyDescent="0.3">
      <c r="A2199" s="157">
        <v>42088</v>
      </c>
      <c r="B2199" s="158">
        <v>11254.51</v>
      </c>
      <c r="C2199"/>
      <c r="D2199" s="160"/>
    </row>
    <row r="2200" spans="1:4" x14ac:dyDescent="0.3">
      <c r="A2200" s="157">
        <v>42087</v>
      </c>
      <c r="B2200" s="158">
        <v>11269.62</v>
      </c>
      <c r="C2200"/>
      <c r="D2200" s="160"/>
    </row>
    <row r="2201" spans="1:4" x14ac:dyDescent="0.3">
      <c r="A2201" s="157">
        <v>42086</v>
      </c>
      <c r="B2201" s="158">
        <v>11277.98</v>
      </c>
      <c r="C2201"/>
      <c r="D2201" s="160"/>
    </row>
    <row r="2202" spans="1:4" x14ac:dyDescent="0.3">
      <c r="A2202" s="157">
        <v>42083</v>
      </c>
      <c r="B2202" s="158">
        <v>11304.37</v>
      </c>
      <c r="C2202"/>
      <c r="D2202" s="160"/>
    </row>
    <row r="2203" spans="1:4" x14ac:dyDescent="0.3">
      <c r="A2203" s="157">
        <v>42082</v>
      </c>
      <c r="B2203" s="158">
        <v>11380.91</v>
      </c>
      <c r="C2203"/>
      <c r="D2203" s="160"/>
    </row>
    <row r="2204" spans="1:4" x14ac:dyDescent="0.3">
      <c r="A2204" s="157">
        <v>42081</v>
      </c>
      <c r="B2204" s="158">
        <v>11448.46</v>
      </c>
      <c r="C2204"/>
      <c r="D2204" s="160"/>
    </row>
    <row r="2205" spans="1:4" x14ac:dyDescent="0.3">
      <c r="A2205" s="157">
        <v>42080</v>
      </c>
      <c r="B2205" s="158">
        <v>11497.78</v>
      </c>
      <c r="C2205"/>
      <c r="D2205" s="160"/>
    </row>
    <row r="2206" spans="1:4" x14ac:dyDescent="0.3">
      <c r="A2206" s="157">
        <v>42079</v>
      </c>
      <c r="B2206" s="158">
        <v>11378.97</v>
      </c>
      <c r="C2206"/>
      <c r="D2206" s="160"/>
    </row>
    <row r="2207" spans="1:4" x14ac:dyDescent="0.3">
      <c r="A2207" s="157">
        <v>42076</v>
      </c>
      <c r="B2207" s="158">
        <v>11398.21</v>
      </c>
      <c r="C2207"/>
      <c r="D2207" s="160"/>
    </row>
    <row r="2208" spans="1:4" x14ac:dyDescent="0.3">
      <c r="A2208" s="157">
        <v>42075</v>
      </c>
      <c r="B2208" s="158">
        <v>11567.25</v>
      </c>
      <c r="C2208"/>
      <c r="D2208" s="160"/>
    </row>
    <row r="2209" spans="1:4" x14ac:dyDescent="0.3">
      <c r="A2209" s="157">
        <v>42074</v>
      </c>
      <c r="B2209" s="158">
        <v>11466.5</v>
      </c>
      <c r="C2209"/>
      <c r="D2209" s="160"/>
    </row>
    <row r="2210" spans="1:4" x14ac:dyDescent="0.3">
      <c r="A2210" s="157">
        <v>42073</v>
      </c>
      <c r="B2210" s="158">
        <v>11482.4</v>
      </c>
      <c r="C2210"/>
      <c r="D2210" s="160"/>
    </row>
    <row r="2211" spans="1:4" x14ac:dyDescent="0.3">
      <c r="A2211" s="157">
        <v>42072</v>
      </c>
      <c r="B2211" s="158">
        <v>11541.34</v>
      </c>
      <c r="C2211"/>
      <c r="D2211" s="160"/>
    </row>
    <row r="2212" spans="1:4" x14ac:dyDescent="0.3">
      <c r="A2212" s="157">
        <v>42068</v>
      </c>
      <c r="B2212" s="158">
        <v>11779.43</v>
      </c>
      <c r="C2212"/>
      <c r="D2212" s="160"/>
    </row>
    <row r="2213" spans="1:4" x14ac:dyDescent="0.3">
      <c r="A2213" s="157">
        <v>42067</v>
      </c>
      <c r="B2213" s="158">
        <v>11759.58</v>
      </c>
      <c r="C2213"/>
      <c r="D2213" s="160"/>
    </row>
    <row r="2214" spans="1:4" x14ac:dyDescent="0.3">
      <c r="A2214" s="157">
        <v>42066</v>
      </c>
      <c r="B2214" s="158">
        <v>11856.58</v>
      </c>
      <c r="C2214"/>
      <c r="D2214" s="160"/>
    </row>
    <row r="2215" spans="1:4" x14ac:dyDescent="0.3">
      <c r="A2215" s="157">
        <v>42065</v>
      </c>
      <c r="B2215" s="158">
        <v>11796.73</v>
      </c>
      <c r="C2215"/>
      <c r="D2215" s="160"/>
    </row>
    <row r="2216" spans="1:4" x14ac:dyDescent="0.3">
      <c r="A2216" s="157">
        <v>42063</v>
      </c>
      <c r="B2216" s="158">
        <v>11723.28</v>
      </c>
      <c r="C2216"/>
      <c r="D2216" s="160"/>
    </row>
    <row r="2217" spans="1:4" x14ac:dyDescent="0.3">
      <c r="A2217" s="157">
        <v>42062</v>
      </c>
      <c r="B2217" s="158">
        <v>11647.9</v>
      </c>
      <c r="C2217"/>
      <c r="D2217" s="160"/>
    </row>
    <row r="2218" spans="1:4" x14ac:dyDescent="0.3">
      <c r="A2218" s="157">
        <v>42061</v>
      </c>
      <c r="B2218" s="158">
        <v>11436.2</v>
      </c>
      <c r="C2218"/>
      <c r="D2218" s="160"/>
    </row>
    <row r="2219" spans="1:4" x14ac:dyDescent="0.3">
      <c r="A2219" s="157">
        <v>42060</v>
      </c>
      <c r="B2219" s="158">
        <v>11546.02</v>
      </c>
      <c r="C2219"/>
      <c r="D2219" s="160"/>
    </row>
    <row r="2220" spans="1:4" x14ac:dyDescent="0.3">
      <c r="A2220" s="157">
        <v>42059</v>
      </c>
      <c r="B2220" s="158">
        <v>11539.22</v>
      </c>
      <c r="C2220"/>
      <c r="D2220" s="160"/>
    </row>
    <row r="2221" spans="1:4" x14ac:dyDescent="0.3">
      <c r="A2221" s="157">
        <v>42058</v>
      </c>
      <c r="B2221" s="158">
        <v>11529.79</v>
      </c>
      <c r="C2221"/>
      <c r="D2221" s="160"/>
    </row>
    <row r="2222" spans="1:4" x14ac:dyDescent="0.3">
      <c r="A2222" s="157">
        <v>42055</v>
      </c>
      <c r="B2222" s="158">
        <v>11633.41</v>
      </c>
      <c r="C2222"/>
      <c r="D2222" s="160"/>
    </row>
    <row r="2223" spans="1:4" x14ac:dyDescent="0.3">
      <c r="A2223" s="157">
        <v>42054</v>
      </c>
      <c r="B2223" s="158">
        <v>11714.65</v>
      </c>
      <c r="C2223"/>
      <c r="D2223" s="160"/>
    </row>
    <row r="2224" spans="1:4" x14ac:dyDescent="0.3">
      <c r="A2224" s="157">
        <v>42053</v>
      </c>
      <c r="B2224" s="158">
        <v>11680.18</v>
      </c>
      <c r="C2224"/>
      <c r="D2224" s="160"/>
    </row>
    <row r="2225" spans="1:4" x14ac:dyDescent="0.3">
      <c r="A2225" s="157">
        <v>42051</v>
      </c>
      <c r="B2225" s="158">
        <v>11600.46</v>
      </c>
      <c r="C2225"/>
      <c r="D2225" s="160"/>
    </row>
    <row r="2226" spans="1:4" x14ac:dyDescent="0.3">
      <c r="A2226" s="157">
        <v>42048</v>
      </c>
      <c r="B2226" s="158">
        <v>11595.25</v>
      </c>
      <c r="C2226"/>
      <c r="D2226" s="160"/>
    </row>
    <row r="2227" spans="1:4" x14ac:dyDescent="0.3">
      <c r="A2227" s="157">
        <v>42047</v>
      </c>
      <c r="B2227" s="158">
        <v>11471.52</v>
      </c>
      <c r="C2227"/>
      <c r="D2227" s="160"/>
    </row>
    <row r="2228" spans="1:4" x14ac:dyDescent="0.3">
      <c r="A2228" s="157">
        <v>42046</v>
      </c>
      <c r="B2228" s="158">
        <v>11360.75</v>
      </c>
      <c r="C2228"/>
      <c r="D2228" s="160"/>
    </row>
    <row r="2229" spans="1:4" x14ac:dyDescent="0.3">
      <c r="A2229" s="157">
        <v>42045</v>
      </c>
      <c r="B2229" s="158">
        <v>11279.29</v>
      </c>
      <c r="C2229"/>
      <c r="D2229" s="160"/>
    </row>
    <row r="2230" spans="1:4" x14ac:dyDescent="0.3">
      <c r="A2230" s="157">
        <v>42044</v>
      </c>
      <c r="B2230" s="158">
        <v>11227.7</v>
      </c>
      <c r="C2230"/>
      <c r="D2230" s="160"/>
    </row>
    <row r="2231" spans="1:4" x14ac:dyDescent="0.3">
      <c r="A2231" s="157">
        <v>42041</v>
      </c>
      <c r="B2231" s="158">
        <v>11405.06</v>
      </c>
      <c r="C2231"/>
      <c r="D2231" s="160"/>
    </row>
    <row r="2232" spans="1:4" x14ac:dyDescent="0.3">
      <c r="A2232" s="157">
        <v>42040</v>
      </c>
      <c r="B2232" s="158">
        <v>11471.77</v>
      </c>
      <c r="C2232"/>
      <c r="D2232" s="160"/>
    </row>
    <row r="2233" spans="1:4" x14ac:dyDescent="0.3">
      <c r="A2233" s="157">
        <v>42039</v>
      </c>
      <c r="B2233" s="158">
        <v>11487.57</v>
      </c>
      <c r="C2233"/>
      <c r="D2233" s="160"/>
    </row>
    <row r="2234" spans="1:4" x14ac:dyDescent="0.3">
      <c r="A2234" s="157">
        <v>42038</v>
      </c>
      <c r="B2234" s="158">
        <v>11529.72</v>
      </c>
      <c r="C2234"/>
      <c r="D2234" s="160"/>
    </row>
    <row r="2235" spans="1:4" x14ac:dyDescent="0.3">
      <c r="A2235" s="157">
        <v>42037</v>
      </c>
      <c r="B2235" s="158">
        <v>11583.49</v>
      </c>
      <c r="C2235"/>
      <c r="D2235" s="160"/>
    </row>
    <row r="2236" spans="1:4" x14ac:dyDescent="0.3">
      <c r="A2236" s="157">
        <v>42034</v>
      </c>
      <c r="B2236" s="158">
        <v>11598.64</v>
      </c>
      <c r="C2236"/>
      <c r="D2236" s="160"/>
    </row>
    <row r="2237" spans="1:4" x14ac:dyDescent="0.3">
      <c r="A2237" s="157">
        <v>42033</v>
      </c>
      <c r="B2237" s="158">
        <v>11787.53</v>
      </c>
      <c r="C2237"/>
      <c r="D2237" s="160"/>
    </row>
    <row r="2238" spans="1:4" x14ac:dyDescent="0.3">
      <c r="A2238" s="157">
        <v>42032</v>
      </c>
      <c r="B2238" s="158">
        <v>11737.42</v>
      </c>
      <c r="C2238"/>
      <c r="D2238" s="160"/>
    </row>
    <row r="2239" spans="1:4" x14ac:dyDescent="0.3">
      <c r="A2239" s="157">
        <v>42031</v>
      </c>
      <c r="B2239" s="158">
        <v>11732.39</v>
      </c>
      <c r="C2239"/>
      <c r="D2239" s="160"/>
    </row>
    <row r="2240" spans="1:4" x14ac:dyDescent="0.3">
      <c r="A2240" s="157">
        <v>42027</v>
      </c>
      <c r="B2240" s="158">
        <v>11633.06</v>
      </c>
      <c r="C2240"/>
      <c r="D2240" s="160"/>
    </row>
    <row r="2241" spans="1:4" x14ac:dyDescent="0.3">
      <c r="A2241" s="157">
        <v>42026</v>
      </c>
      <c r="B2241" s="158">
        <v>11535.32</v>
      </c>
      <c r="C2241"/>
      <c r="D2241" s="160"/>
    </row>
    <row r="2242" spans="1:4" x14ac:dyDescent="0.3">
      <c r="A2242" s="157">
        <v>42025</v>
      </c>
      <c r="B2242" s="158">
        <v>11492.4</v>
      </c>
      <c r="C2242"/>
      <c r="D2242" s="160"/>
    </row>
    <row r="2243" spans="1:4" x14ac:dyDescent="0.3">
      <c r="A2243" s="157">
        <v>42024</v>
      </c>
      <c r="B2243" s="158">
        <v>11447.77</v>
      </c>
      <c r="C2243"/>
      <c r="D2243" s="160"/>
    </row>
    <row r="2244" spans="1:4" x14ac:dyDescent="0.3">
      <c r="A2244" s="157">
        <v>42023</v>
      </c>
      <c r="B2244" s="158">
        <v>11257.01</v>
      </c>
      <c r="C2244"/>
      <c r="D2244" s="160"/>
    </row>
    <row r="2245" spans="1:4" x14ac:dyDescent="0.3">
      <c r="A2245" s="157">
        <v>42020</v>
      </c>
      <c r="B2245" s="158">
        <v>11208.42</v>
      </c>
      <c r="C2245"/>
      <c r="D2245" s="160"/>
    </row>
    <row r="2246" spans="1:4" x14ac:dyDescent="0.3">
      <c r="A2246" s="157">
        <v>42019</v>
      </c>
      <c r="B2246" s="158">
        <v>11182.52</v>
      </c>
      <c r="C2246"/>
      <c r="D2246" s="160"/>
    </row>
    <row r="2247" spans="1:4" x14ac:dyDescent="0.3">
      <c r="A2247" s="157">
        <v>42018</v>
      </c>
      <c r="B2247" s="158">
        <v>10897.36</v>
      </c>
      <c r="C2247"/>
      <c r="D2247" s="160"/>
    </row>
    <row r="2248" spans="1:4" x14ac:dyDescent="0.3">
      <c r="A2248" s="157">
        <v>42017</v>
      </c>
      <c r="B2248" s="158">
        <v>10926.16</v>
      </c>
      <c r="C2248"/>
      <c r="D2248" s="160"/>
    </row>
    <row r="2249" spans="1:4" x14ac:dyDescent="0.3">
      <c r="A2249" s="157">
        <v>42016</v>
      </c>
      <c r="B2249" s="158">
        <v>10957.22</v>
      </c>
      <c r="C2249"/>
      <c r="D2249" s="160"/>
    </row>
    <row r="2250" spans="1:4" x14ac:dyDescent="0.3">
      <c r="A2250" s="157">
        <v>42013</v>
      </c>
      <c r="B2250" s="158">
        <v>10906.56</v>
      </c>
      <c r="C2250"/>
      <c r="D2250" s="160"/>
    </row>
    <row r="2251" spans="1:4" x14ac:dyDescent="0.3">
      <c r="A2251" s="157">
        <v>42012</v>
      </c>
      <c r="B2251" s="158">
        <v>10840.84</v>
      </c>
      <c r="C2251"/>
      <c r="D2251" s="160"/>
    </row>
    <row r="2252" spans="1:4" x14ac:dyDescent="0.3">
      <c r="A2252" s="157">
        <v>42011</v>
      </c>
      <c r="B2252" s="158">
        <v>10666.38</v>
      </c>
      <c r="C2252"/>
      <c r="D2252" s="160"/>
    </row>
    <row r="2253" spans="1:4" x14ac:dyDescent="0.3">
      <c r="A2253" s="157">
        <v>42010</v>
      </c>
      <c r="B2253" s="158">
        <v>10699.62</v>
      </c>
      <c r="C2253"/>
      <c r="D2253" s="160"/>
    </row>
    <row r="2254" spans="1:4" x14ac:dyDescent="0.3">
      <c r="A2254" s="157">
        <v>42009</v>
      </c>
      <c r="B2254" s="158">
        <v>11030.18</v>
      </c>
      <c r="C2254"/>
      <c r="D2254" s="160"/>
    </row>
    <row r="2255" spans="1:4" x14ac:dyDescent="0.3">
      <c r="A2255" s="157">
        <v>42006</v>
      </c>
      <c r="B2255" s="158">
        <v>11052.57</v>
      </c>
      <c r="C2255"/>
      <c r="D2255" s="160"/>
    </row>
    <row r="2256" spans="1:4" x14ac:dyDescent="0.3">
      <c r="A2256" s="157">
        <v>42005</v>
      </c>
      <c r="B2256" s="158">
        <v>10905.87</v>
      </c>
      <c r="C2256"/>
      <c r="D2256" s="160"/>
    </row>
    <row r="2257" spans="1:4" x14ac:dyDescent="0.3">
      <c r="A2257" s="157">
        <v>42004</v>
      </c>
      <c r="B2257" s="158">
        <v>10904.18</v>
      </c>
      <c r="C2257"/>
      <c r="D2257" s="160"/>
    </row>
    <row r="2258" spans="1:4" x14ac:dyDescent="0.3">
      <c r="A2258" s="157">
        <v>42003</v>
      </c>
      <c r="B2258" s="158">
        <v>10858.82</v>
      </c>
      <c r="C2258"/>
      <c r="D2258" s="160"/>
    </row>
    <row r="2259" spans="1:4" x14ac:dyDescent="0.3">
      <c r="A2259" s="157">
        <v>42002</v>
      </c>
      <c r="B2259" s="158">
        <v>10856.23</v>
      </c>
      <c r="C2259"/>
      <c r="D2259" s="160"/>
    </row>
    <row r="2260" spans="1:4" x14ac:dyDescent="0.3">
      <c r="A2260" s="157">
        <v>41999</v>
      </c>
      <c r="B2260" s="158">
        <v>10796.22</v>
      </c>
      <c r="C2260"/>
      <c r="D2260" s="160"/>
    </row>
    <row r="2261" spans="1:4" x14ac:dyDescent="0.3">
      <c r="A2261" s="157">
        <v>41997</v>
      </c>
      <c r="B2261" s="158">
        <v>10761.16</v>
      </c>
      <c r="C2261"/>
      <c r="D2261" s="160"/>
    </row>
    <row r="2262" spans="1:4" x14ac:dyDescent="0.3">
      <c r="A2262" s="157">
        <v>41996</v>
      </c>
      <c r="B2262" s="158">
        <v>10883.52</v>
      </c>
      <c r="C2262"/>
      <c r="D2262" s="160"/>
    </row>
    <row r="2263" spans="1:4" x14ac:dyDescent="0.3">
      <c r="A2263" s="157">
        <v>41995</v>
      </c>
      <c r="B2263" s="158">
        <v>10958.56</v>
      </c>
      <c r="C2263"/>
      <c r="D2263" s="160"/>
    </row>
    <row r="2264" spans="1:4" x14ac:dyDescent="0.3">
      <c r="A2264" s="157">
        <v>41992</v>
      </c>
      <c r="B2264" s="158">
        <v>10828.45</v>
      </c>
      <c r="C2264"/>
      <c r="D2264" s="160"/>
    </row>
    <row r="2265" spans="1:4" x14ac:dyDescent="0.3">
      <c r="A2265" s="157">
        <v>41991</v>
      </c>
      <c r="B2265" s="158">
        <v>10741.73</v>
      </c>
      <c r="C2265"/>
      <c r="D2265" s="160"/>
    </row>
    <row r="2266" spans="1:4" x14ac:dyDescent="0.3">
      <c r="A2266" s="157">
        <v>41990</v>
      </c>
      <c r="B2266" s="158">
        <v>10571.25</v>
      </c>
      <c r="C2266"/>
      <c r="D2266" s="160"/>
    </row>
    <row r="2267" spans="1:4" x14ac:dyDescent="0.3">
      <c r="A2267" s="157">
        <v>41989</v>
      </c>
      <c r="B2267" s="158">
        <v>10620.96</v>
      </c>
      <c r="C2267"/>
      <c r="D2267" s="160"/>
    </row>
    <row r="2268" spans="1:4" x14ac:dyDescent="0.3">
      <c r="A2268" s="157">
        <v>41988</v>
      </c>
      <c r="B2268" s="158">
        <v>10818.45</v>
      </c>
      <c r="C2268"/>
      <c r="D2268" s="160"/>
    </row>
    <row r="2269" spans="1:4" x14ac:dyDescent="0.3">
      <c r="A2269" s="157">
        <v>41985</v>
      </c>
      <c r="B2269" s="158">
        <v>10824.36</v>
      </c>
      <c r="C2269"/>
      <c r="D2269" s="160"/>
    </row>
    <row r="2270" spans="1:4" x14ac:dyDescent="0.3">
      <c r="A2270" s="157">
        <v>41984</v>
      </c>
      <c r="B2270" s="158">
        <v>10914.91</v>
      </c>
      <c r="C2270"/>
      <c r="D2270" s="160"/>
    </row>
    <row r="2271" spans="1:4" x14ac:dyDescent="0.3">
      <c r="A2271" s="157">
        <v>41983</v>
      </c>
      <c r="B2271" s="158">
        <v>10997.53</v>
      </c>
      <c r="C2271"/>
      <c r="D2271" s="160"/>
    </row>
    <row r="2272" spans="1:4" x14ac:dyDescent="0.3">
      <c r="A2272" s="157">
        <v>41982</v>
      </c>
      <c r="B2272" s="158">
        <v>10977.83</v>
      </c>
      <c r="C2272"/>
      <c r="D2272" s="160"/>
    </row>
    <row r="2273" spans="1:4" x14ac:dyDescent="0.3">
      <c r="A2273" s="157">
        <v>41981</v>
      </c>
      <c r="B2273" s="158">
        <v>11106.22</v>
      </c>
      <c r="C2273"/>
      <c r="D2273" s="160"/>
    </row>
    <row r="2274" spans="1:4" x14ac:dyDescent="0.3">
      <c r="A2274" s="157">
        <v>41978</v>
      </c>
      <c r="B2274" s="158">
        <v>11237.89</v>
      </c>
      <c r="C2274"/>
      <c r="D2274" s="160"/>
    </row>
    <row r="2275" spans="1:4" x14ac:dyDescent="0.3">
      <c r="A2275" s="157">
        <v>41977</v>
      </c>
      <c r="B2275" s="158">
        <v>11272.28</v>
      </c>
      <c r="C2275"/>
      <c r="D2275" s="160"/>
    </row>
    <row r="2276" spans="1:4" x14ac:dyDescent="0.3">
      <c r="A2276" s="157">
        <v>41976</v>
      </c>
      <c r="B2276" s="158">
        <v>11237.05</v>
      </c>
      <c r="C2276"/>
      <c r="D2276" s="160"/>
    </row>
    <row r="2277" spans="1:4" x14ac:dyDescent="0.3">
      <c r="A2277" s="157">
        <v>41975</v>
      </c>
      <c r="B2277" s="158">
        <v>11219.98</v>
      </c>
      <c r="C2277"/>
      <c r="D2277" s="160"/>
    </row>
    <row r="2278" spans="1:4" x14ac:dyDescent="0.3">
      <c r="A2278" s="157">
        <v>41974</v>
      </c>
      <c r="B2278" s="158">
        <v>11261.08</v>
      </c>
      <c r="C2278"/>
      <c r="D2278" s="160"/>
    </row>
    <row r="2279" spans="1:4" x14ac:dyDescent="0.3">
      <c r="A2279" s="157">
        <v>41971</v>
      </c>
      <c r="B2279" s="158">
        <v>11303.65</v>
      </c>
      <c r="C2279"/>
      <c r="D2279" s="160"/>
    </row>
    <row r="2280" spans="1:4" x14ac:dyDescent="0.3">
      <c r="A2280" s="157">
        <v>41970</v>
      </c>
      <c r="B2280" s="158">
        <v>11179.89</v>
      </c>
      <c r="C2280"/>
      <c r="D2280" s="160"/>
    </row>
    <row r="2281" spans="1:4" x14ac:dyDescent="0.3">
      <c r="A2281" s="157">
        <v>41969</v>
      </c>
      <c r="B2281" s="158">
        <v>11155.59</v>
      </c>
      <c r="C2281"/>
      <c r="D2281" s="160"/>
    </row>
    <row r="2282" spans="1:4" x14ac:dyDescent="0.3">
      <c r="A2282" s="157">
        <v>41968</v>
      </c>
      <c r="B2282" s="158">
        <v>11138.95</v>
      </c>
      <c r="C2282"/>
      <c r="D2282" s="160"/>
    </row>
    <row r="2283" spans="1:4" x14ac:dyDescent="0.3">
      <c r="A2283" s="157">
        <v>41967</v>
      </c>
      <c r="B2283" s="158">
        <v>11227.19</v>
      </c>
      <c r="C2283"/>
      <c r="D2283" s="160"/>
    </row>
    <row r="2284" spans="1:4" x14ac:dyDescent="0.3">
      <c r="A2284" s="157">
        <v>41964</v>
      </c>
      <c r="B2284" s="158">
        <v>11157.68</v>
      </c>
      <c r="C2284"/>
      <c r="D2284" s="160"/>
    </row>
    <row r="2285" spans="1:4" x14ac:dyDescent="0.3">
      <c r="A2285" s="157">
        <v>41963</v>
      </c>
      <c r="B2285" s="158">
        <v>11058.39</v>
      </c>
      <c r="C2285"/>
      <c r="D2285" s="160"/>
    </row>
    <row r="2286" spans="1:4" x14ac:dyDescent="0.3">
      <c r="A2286" s="157">
        <v>41962</v>
      </c>
      <c r="B2286" s="158">
        <v>11032.59</v>
      </c>
      <c r="C2286"/>
      <c r="D2286" s="160"/>
    </row>
    <row r="2287" spans="1:4" x14ac:dyDescent="0.3">
      <c r="A2287" s="157">
        <v>41961</v>
      </c>
      <c r="B2287" s="158">
        <v>11089.98</v>
      </c>
      <c r="C2287"/>
      <c r="D2287" s="160"/>
    </row>
    <row r="2288" spans="1:4" x14ac:dyDescent="0.3">
      <c r="A2288" s="157">
        <v>41960</v>
      </c>
      <c r="B2288" s="158">
        <v>11096.32</v>
      </c>
      <c r="C2288"/>
      <c r="D2288" s="160"/>
    </row>
    <row r="2289" spans="1:4" x14ac:dyDescent="0.3">
      <c r="A2289" s="157">
        <v>41957</v>
      </c>
      <c r="B2289" s="158">
        <v>11042.61</v>
      </c>
      <c r="C2289"/>
      <c r="D2289" s="160"/>
    </row>
    <row r="2290" spans="1:4" x14ac:dyDescent="0.3">
      <c r="A2290" s="157">
        <v>41956</v>
      </c>
      <c r="B2290" s="158">
        <v>11000.37</v>
      </c>
      <c r="C2290"/>
      <c r="D2290" s="160"/>
    </row>
    <row r="2291" spans="1:4" x14ac:dyDescent="0.3">
      <c r="A2291" s="157">
        <v>41955</v>
      </c>
      <c r="B2291" s="158">
        <v>11033.19</v>
      </c>
      <c r="C2291"/>
      <c r="D2291" s="160"/>
    </row>
    <row r="2292" spans="1:4" x14ac:dyDescent="0.3">
      <c r="A2292" s="157">
        <v>41954</v>
      </c>
      <c r="B2292" s="158">
        <v>11006.04</v>
      </c>
      <c r="C2292"/>
      <c r="D2292" s="160"/>
    </row>
    <row r="2293" spans="1:4" x14ac:dyDescent="0.3">
      <c r="A2293" s="157">
        <v>41953</v>
      </c>
      <c r="B2293" s="158">
        <v>10981.77</v>
      </c>
      <c r="C2293"/>
      <c r="D2293" s="160"/>
    </row>
    <row r="2294" spans="1:4" x14ac:dyDescent="0.3">
      <c r="A2294" s="157">
        <v>41950</v>
      </c>
      <c r="B2294" s="158">
        <v>10972.24</v>
      </c>
      <c r="C2294"/>
      <c r="D2294" s="160"/>
    </row>
    <row r="2295" spans="1:4" x14ac:dyDescent="0.3">
      <c r="A2295" s="157">
        <v>41948</v>
      </c>
      <c r="B2295" s="158">
        <v>10973.95</v>
      </c>
      <c r="C2295"/>
      <c r="D2295" s="160"/>
    </row>
    <row r="2296" spans="1:4" x14ac:dyDescent="0.3">
      <c r="A2296" s="157">
        <v>41946</v>
      </c>
      <c r="B2296" s="158">
        <v>10955.32</v>
      </c>
      <c r="C2296"/>
      <c r="D2296" s="160"/>
    </row>
    <row r="2297" spans="1:4" x14ac:dyDescent="0.3">
      <c r="A2297" s="157">
        <v>41943</v>
      </c>
      <c r="B2297" s="158">
        <v>10952.14</v>
      </c>
      <c r="C2297"/>
      <c r="D2297" s="160"/>
    </row>
    <row r="2298" spans="1:4" x14ac:dyDescent="0.3">
      <c r="A2298" s="157">
        <v>41942</v>
      </c>
      <c r="B2298" s="158">
        <v>10749.57</v>
      </c>
      <c r="C2298"/>
      <c r="D2298" s="160"/>
    </row>
    <row r="2299" spans="1:4" x14ac:dyDescent="0.3">
      <c r="A2299" s="157">
        <v>41941</v>
      </c>
      <c r="B2299" s="158">
        <v>10645.96</v>
      </c>
      <c r="C2299"/>
      <c r="D2299" s="160"/>
    </row>
    <row r="2300" spans="1:4" x14ac:dyDescent="0.3">
      <c r="A2300" s="157">
        <v>41940</v>
      </c>
      <c r="B2300" s="158">
        <v>10562.48</v>
      </c>
      <c r="C2300"/>
      <c r="D2300" s="160"/>
    </row>
    <row r="2301" spans="1:4" x14ac:dyDescent="0.3">
      <c r="A2301" s="157">
        <v>41939</v>
      </c>
      <c r="B2301" s="158">
        <v>10515.22</v>
      </c>
      <c r="C2301"/>
      <c r="D2301" s="160"/>
    </row>
    <row r="2302" spans="1:4" x14ac:dyDescent="0.3">
      <c r="A2302" s="157">
        <v>41935</v>
      </c>
      <c r="B2302" s="158">
        <v>10545.31</v>
      </c>
      <c r="C2302"/>
      <c r="D2302" s="160"/>
    </row>
    <row r="2303" spans="1:4" x14ac:dyDescent="0.3">
      <c r="A2303" s="157">
        <v>41934</v>
      </c>
      <c r="B2303" s="158">
        <v>10520.79</v>
      </c>
      <c r="C2303"/>
      <c r="D2303" s="160"/>
    </row>
    <row r="2304" spans="1:4" x14ac:dyDescent="0.3">
      <c r="A2304" s="157">
        <v>41933</v>
      </c>
      <c r="B2304" s="158">
        <v>10431.1</v>
      </c>
      <c r="C2304"/>
      <c r="D2304" s="160"/>
    </row>
    <row r="2305" spans="1:4" x14ac:dyDescent="0.3">
      <c r="A2305" s="157">
        <v>41932</v>
      </c>
      <c r="B2305" s="158">
        <v>10367.030000000001</v>
      </c>
      <c r="C2305"/>
      <c r="D2305" s="160"/>
    </row>
    <row r="2306" spans="1:4" x14ac:dyDescent="0.3">
      <c r="A2306" s="157">
        <v>41929</v>
      </c>
      <c r="B2306" s="158">
        <v>10235.83</v>
      </c>
      <c r="C2306"/>
      <c r="D2306" s="160"/>
    </row>
    <row r="2307" spans="1:4" x14ac:dyDescent="0.3">
      <c r="A2307" s="157">
        <v>41928</v>
      </c>
      <c r="B2307" s="158">
        <v>10194.41</v>
      </c>
      <c r="C2307"/>
      <c r="D2307" s="160"/>
    </row>
    <row r="2308" spans="1:4" x14ac:dyDescent="0.3">
      <c r="A2308" s="157">
        <v>41926</v>
      </c>
      <c r="B2308" s="158">
        <v>10342.43</v>
      </c>
      <c r="C2308"/>
      <c r="D2308" s="160"/>
    </row>
    <row r="2309" spans="1:4" x14ac:dyDescent="0.3">
      <c r="A2309" s="157">
        <v>41925</v>
      </c>
      <c r="B2309" s="158">
        <v>10369.11</v>
      </c>
      <c r="C2309"/>
      <c r="D2309" s="160"/>
    </row>
    <row r="2310" spans="1:4" x14ac:dyDescent="0.3">
      <c r="A2310" s="157">
        <v>41922</v>
      </c>
      <c r="B2310" s="158">
        <v>10337.14</v>
      </c>
      <c r="C2310"/>
      <c r="D2310" s="160"/>
    </row>
    <row r="2311" spans="1:4" x14ac:dyDescent="0.3">
      <c r="A2311" s="157">
        <v>41921</v>
      </c>
      <c r="B2311" s="158">
        <v>10469.450000000001</v>
      </c>
      <c r="C2311"/>
      <c r="D2311" s="160"/>
    </row>
    <row r="2312" spans="1:4" x14ac:dyDescent="0.3">
      <c r="A2312" s="157">
        <v>41920</v>
      </c>
      <c r="B2312" s="158">
        <v>10314.44</v>
      </c>
      <c r="C2312"/>
      <c r="D2312" s="160"/>
    </row>
    <row r="2313" spans="1:4" x14ac:dyDescent="0.3">
      <c r="A2313" s="157">
        <v>41919</v>
      </c>
      <c r="B2313" s="158">
        <v>10327.23</v>
      </c>
      <c r="C2313"/>
      <c r="D2313" s="160"/>
    </row>
    <row r="2314" spans="1:4" x14ac:dyDescent="0.3">
      <c r="A2314" s="157">
        <v>41913</v>
      </c>
      <c r="B2314" s="158">
        <v>10449.700000000001</v>
      </c>
      <c r="C2314"/>
      <c r="D2314" s="160"/>
    </row>
    <row r="2315" spans="1:4" x14ac:dyDescent="0.3">
      <c r="A2315" s="157">
        <v>41912</v>
      </c>
      <c r="B2315" s="158">
        <v>10475.040000000001</v>
      </c>
      <c r="C2315"/>
      <c r="D2315" s="160"/>
    </row>
    <row r="2316" spans="1:4" x14ac:dyDescent="0.3">
      <c r="A2316" s="157">
        <v>41911</v>
      </c>
      <c r="B2316" s="158">
        <v>10467.25</v>
      </c>
      <c r="C2316"/>
      <c r="D2316" s="160"/>
    </row>
    <row r="2317" spans="1:4" x14ac:dyDescent="0.3">
      <c r="A2317" s="157">
        <v>41908</v>
      </c>
      <c r="B2317" s="158">
        <v>10480.36</v>
      </c>
      <c r="C2317"/>
      <c r="D2317" s="160"/>
    </row>
    <row r="2318" spans="1:4" x14ac:dyDescent="0.3">
      <c r="A2318" s="157">
        <v>41907</v>
      </c>
      <c r="B2318" s="158">
        <v>10405.39</v>
      </c>
      <c r="C2318"/>
      <c r="D2318" s="160"/>
    </row>
    <row r="2319" spans="1:4" x14ac:dyDescent="0.3">
      <c r="A2319" s="157">
        <v>41906</v>
      </c>
      <c r="B2319" s="158">
        <v>10524.5</v>
      </c>
      <c r="C2319"/>
      <c r="D2319" s="160"/>
    </row>
    <row r="2320" spans="1:4" x14ac:dyDescent="0.3">
      <c r="A2320" s="157">
        <v>41905</v>
      </c>
      <c r="B2320" s="158">
        <v>10544.42</v>
      </c>
      <c r="C2320"/>
      <c r="D2320" s="160"/>
    </row>
    <row r="2321" spans="1:4" x14ac:dyDescent="0.3">
      <c r="A2321" s="157">
        <v>41904</v>
      </c>
      <c r="B2321" s="158">
        <v>10713.74</v>
      </c>
      <c r="C2321"/>
      <c r="D2321" s="160"/>
    </row>
    <row r="2322" spans="1:4" x14ac:dyDescent="0.3">
      <c r="A2322" s="157">
        <v>41901</v>
      </c>
      <c r="B2322" s="158">
        <v>10679.98</v>
      </c>
      <c r="C2322"/>
      <c r="D2322" s="160"/>
    </row>
    <row r="2323" spans="1:4" x14ac:dyDescent="0.3">
      <c r="A2323" s="157">
        <v>41900</v>
      </c>
      <c r="B2323" s="158">
        <v>10671.16</v>
      </c>
      <c r="C2323"/>
      <c r="D2323" s="160"/>
    </row>
    <row r="2324" spans="1:4" x14ac:dyDescent="0.3">
      <c r="A2324" s="157">
        <v>41899</v>
      </c>
      <c r="B2324" s="158">
        <v>10488.05</v>
      </c>
      <c r="C2324"/>
      <c r="D2324" s="160"/>
    </row>
    <row r="2325" spans="1:4" x14ac:dyDescent="0.3">
      <c r="A2325" s="157">
        <v>41898</v>
      </c>
      <c r="B2325" s="158">
        <v>10432.030000000001</v>
      </c>
      <c r="C2325"/>
      <c r="D2325" s="160"/>
    </row>
    <row r="2326" spans="1:4" x14ac:dyDescent="0.3">
      <c r="A2326" s="157">
        <v>41897</v>
      </c>
      <c r="B2326" s="158">
        <v>10575.5</v>
      </c>
      <c r="C2326"/>
      <c r="D2326" s="160"/>
    </row>
    <row r="2327" spans="1:4" x14ac:dyDescent="0.3">
      <c r="A2327" s="157">
        <v>41894</v>
      </c>
      <c r="B2327" s="158">
        <v>10658.96</v>
      </c>
      <c r="C2327"/>
      <c r="D2327" s="160"/>
    </row>
    <row r="2328" spans="1:4" x14ac:dyDescent="0.3">
      <c r="A2328" s="157">
        <v>41893</v>
      </c>
      <c r="B2328" s="158">
        <v>10632.96</v>
      </c>
      <c r="C2328"/>
      <c r="D2328" s="160"/>
    </row>
    <row r="2329" spans="1:4" x14ac:dyDescent="0.3">
      <c r="A2329" s="157">
        <v>41892</v>
      </c>
      <c r="B2329" s="158">
        <v>10643.54</v>
      </c>
      <c r="C2329"/>
      <c r="D2329" s="160"/>
    </row>
    <row r="2330" spans="1:4" x14ac:dyDescent="0.3">
      <c r="A2330" s="157">
        <v>41891</v>
      </c>
      <c r="B2330" s="158">
        <v>10720.95</v>
      </c>
      <c r="C2330"/>
      <c r="D2330" s="160"/>
    </row>
    <row r="2331" spans="1:4" x14ac:dyDescent="0.3">
      <c r="A2331" s="157">
        <v>41890</v>
      </c>
      <c r="B2331" s="158">
        <v>10748.49</v>
      </c>
      <c r="C2331"/>
      <c r="D2331" s="160"/>
    </row>
    <row r="2332" spans="1:4" x14ac:dyDescent="0.3">
      <c r="A2332" s="157">
        <v>41887</v>
      </c>
      <c r="B2332" s="158">
        <v>10633.24</v>
      </c>
      <c r="C2332"/>
      <c r="D2332" s="160"/>
    </row>
    <row r="2333" spans="1:4" x14ac:dyDescent="0.3">
      <c r="A2333" s="157">
        <v>41886</v>
      </c>
      <c r="B2333" s="158">
        <v>10643.88</v>
      </c>
      <c r="C2333"/>
      <c r="D2333" s="160"/>
    </row>
    <row r="2334" spans="1:4" x14ac:dyDescent="0.3">
      <c r="A2334" s="157">
        <v>41885</v>
      </c>
      <c r="B2334" s="158">
        <v>10667.5</v>
      </c>
      <c r="C2334"/>
      <c r="D2334" s="160"/>
    </row>
    <row r="2335" spans="1:4" x14ac:dyDescent="0.3">
      <c r="A2335" s="157">
        <v>41884</v>
      </c>
      <c r="B2335" s="158">
        <v>10626.05</v>
      </c>
      <c r="C2335"/>
      <c r="D2335" s="160"/>
    </row>
    <row r="2336" spans="1:4" x14ac:dyDescent="0.3">
      <c r="A2336" s="157">
        <v>41883</v>
      </c>
      <c r="B2336" s="158">
        <v>10553.26</v>
      </c>
      <c r="C2336"/>
      <c r="D2336" s="160"/>
    </row>
    <row r="2337" spans="1:4" x14ac:dyDescent="0.3">
      <c r="A2337" s="157">
        <v>41879</v>
      </c>
      <c r="B2337" s="158">
        <v>10456.85</v>
      </c>
      <c r="C2337"/>
      <c r="D2337" s="160"/>
    </row>
    <row r="2338" spans="1:4" x14ac:dyDescent="0.3">
      <c r="A2338" s="157">
        <v>41878</v>
      </c>
      <c r="B2338" s="158">
        <v>10432.780000000001</v>
      </c>
      <c r="C2338"/>
      <c r="D2338" s="160"/>
    </row>
    <row r="2339" spans="1:4" x14ac:dyDescent="0.3">
      <c r="A2339" s="157">
        <v>41877</v>
      </c>
      <c r="B2339" s="158">
        <v>10390.39</v>
      </c>
      <c r="C2339"/>
      <c r="D2339" s="160"/>
    </row>
    <row r="2340" spans="1:4" x14ac:dyDescent="0.3">
      <c r="A2340" s="157">
        <v>41876</v>
      </c>
      <c r="B2340" s="158">
        <v>10392.41</v>
      </c>
      <c r="C2340"/>
      <c r="D2340" s="160"/>
    </row>
    <row r="2341" spans="1:4" x14ac:dyDescent="0.3">
      <c r="A2341" s="157">
        <v>41873</v>
      </c>
      <c r="B2341" s="158">
        <v>10401.48</v>
      </c>
      <c r="C2341"/>
      <c r="D2341" s="160"/>
    </row>
    <row r="2342" spans="1:4" x14ac:dyDescent="0.3">
      <c r="A2342" s="157">
        <v>41872</v>
      </c>
      <c r="B2342" s="158">
        <v>10372.44</v>
      </c>
      <c r="C2342"/>
      <c r="D2342" s="160"/>
    </row>
    <row r="2343" spans="1:4" x14ac:dyDescent="0.3">
      <c r="A2343" s="157">
        <v>41871</v>
      </c>
      <c r="B2343" s="158">
        <v>10350.280000000001</v>
      </c>
      <c r="C2343"/>
      <c r="D2343" s="160"/>
    </row>
    <row r="2344" spans="1:4" x14ac:dyDescent="0.3">
      <c r="A2344" s="157">
        <v>41870</v>
      </c>
      <c r="B2344" s="158">
        <v>10379.049999999999</v>
      </c>
      <c r="C2344"/>
      <c r="D2344" s="160"/>
    </row>
    <row r="2345" spans="1:4" x14ac:dyDescent="0.3">
      <c r="A2345" s="157">
        <v>41869</v>
      </c>
      <c r="B2345" s="158">
        <v>10348.219999999999</v>
      </c>
      <c r="C2345"/>
      <c r="D2345" s="160"/>
    </row>
    <row r="2346" spans="1:4" x14ac:dyDescent="0.3">
      <c r="A2346" s="157">
        <v>41865</v>
      </c>
      <c r="B2346" s="158">
        <v>10239.76</v>
      </c>
      <c r="C2346"/>
      <c r="D2346" s="160"/>
    </row>
    <row r="2347" spans="1:4" x14ac:dyDescent="0.3">
      <c r="A2347" s="157">
        <v>41864</v>
      </c>
      <c r="B2347" s="158">
        <v>10171.219999999999</v>
      </c>
      <c r="C2347"/>
      <c r="D2347" s="160"/>
    </row>
    <row r="2348" spans="1:4" x14ac:dyDescent="0.3">
      <c r="A2348" s="157">
        <v>41863</v>
      </c>
      <c r="B2348" s="158">
        <v>10150.24</v>
      </c>
      <c r="C2348"/>
      <c r="D2348" s="160"/>
    </row>
    <row r="2349" spans="1:4" x14ac:dyDescent="0.3">
      <c r="A2349" s="157">
        <v>41862</v>
      </c>
      <c r="B2349" s="158">
        <v>10017.44</v>
      </c>
      <c r="C2349"/>
      <c r="D2349" s="160"/>
    </row>
    <row r="2350" spans="1:4" x14ac:dyDescent="0.3">
      <c r="A2350" s="157">
        <v>41859</v>
      </c>
      <c r="B2350" s="158">
        <v>9942.0300000000007</v>
      </c>
      <c r="C2350"/>
      <c r="D2350" s="160"/>
    </row>
    <row r="2351" spans="1:4" x14ac:dyDescent="0.3">
      <c r="A2351" s="157">
        <v>41858</v>
      </c>
      <c r="B2351" s="158">
        <v>10046.98</v>
      </c>
      <c r="C2351"/>
      <c r="D2351" s="160"/>
    </row>
    <row r="2352" spans="1:4" x14ac:dyDescent="0.3">
      <c r="A2352" s="157">
        <v>41857</v>
      </c>
      <c r="B2352" s="158">
        <v>10076.950000000001</v>
      </c>
      <c r="C2352"/>
      <c r="D2352" s="160"/>
    </row>
    <row r="2353" spans="1:4" x14ac:dyDescent="0.3">
      <c r="A2353" s="157">
        <v>41856</v>
      </c>
      <c r="B2353" s="158">
        <v>10174.469999999999</v>
      </c>
      <c r="C2353"/>
      <c r="D2353" s="160"/>
    </row>
    <row r="2354" spans="1:4" x14ac:dyDescent="0.3">
      <c r="A2354" s="157">
        <v>41855</v>
      </c>
      <c r="B2354" s="158">
        <v>10090.879999999999</v>
      </c>
      <c r="C2354"/>
      <c r="D2354" s="160"/>
    </row>
    <row r="2355" spans="1:4" x14ac:dyDescent="0.3">
      <c r="A2355" s="157">
        <v>41852</v>
      </c>
      <c r="B2355" s="158">
        <v>9984.48</v>
      </c>
      <c r="C2355"/>
      <c r="D2355" s="160"/>
    </row>
    <row r="2356" spans="1:4" x14ac:dyDescent="0.3">
      <c r="A2356" s="157">
        <v>41851</v>
      </c>
      <c r="B2356" s="158">
        <v>10140.34</v>
      </c>
      <c r="C2356"/>
      <c r="D2356" s="160"/>
    </row>
    <row r="2357" spans="1:4" x14ac:dyDescent="0.3">
      <c r="A2357" s="157">
        <v>41850</v>
      </c>
      <c r="B2357" s="158">
        <v>10232.41</v>
      </c>
      <c r="C2357"/>
      <c r="D2357" s="160"/>
    </row>
    <row r="2358" spans="1:4" x14ac:dyDescent="0.3">
      <c r="A2358" s="157">
        <v>41848</v>
      </c>
      <c r="B2358" s="158">
        <v>10175.950000000001</v>
      </c>
      <c r="C2358"/>
      <c r="D2358" s="160"/>
    </row>
    <row r="2359" spans="1:4" x14ac:dyDescent="0.3">
      <c r="A2359" s="157">
        <v>41845</v>
      </c>
      <c r="B2359" s="158">
        <v>10223.52</v>
      </c>
      <c r="C2359"/>
      <c r="D2359" s="160"/>
    </row>
    <row r="2360" spans="1:4" x14ac:dyDescent="0.3">
      <c r="A2360" s="157">
        <v>41844</v>
      </c>
      <c r="B2360" s="158">
        <v>10275.33</v>
      </c>
      <c r="C2360"/>
      <c r="D2360" s="160"/>
    </row>
    <row r="2361" spans="1:4" x14ac:dyDescent="0.3">
      <c r="A2361" s="157">
        <v>41843</v>
      </c>
      <c r="B2361" s="158">
        <v>10229.290000000001</v>
      </c>
      <c r="C2361"/>
      <c r="D2361" s="160"/>
    </row>
    <row r="2362" spans="1:4" x14ac:dyDescent="0.3">
      <c r="A2362" s="157">
        <v>41842</v>
      </c>
      <c r="B2362" s="158">
        <v>10191.98</v>
      </c>
      <c r="C2362"/>
      <c r="D2362" s="160"/>
    </row>
    <row r="2363" spans="1:4" x14ac:dyDescent="0.3">
      <c r="A2363" s="157">
        <v>41841</v>
      </c>
      <c r="B2363" s="158">
        <v>10082.280000000001</v>
      </c>
      <c r="C2363"/>
      <c r="D2363" s="160"/>
    </row>
    <row r="2364" spans="1:4" x14ac:dyDescent="0.3">
      <c r="A2364" s="157">
        <v>41838</v>
      </c>
      <c r="B2364" s="158">
        <v>10054.4</v>
      </c>
      <c r="C2364"/>
      <c r="D2364" s="160"/>
    </row>
    <row r="2365" spans="1:4" x14ac:dyDescent="0.3">
      <c r="A2365" s="157">
        <v>41837</v>
      </c>
      <c r="B2365" s="158">
        <v>10023.67</v>
      </c>
      <c r="C2365"/>
      <c r="D2365" s="160"/>
    </row>
    <row r="2366" spans="1:4" x14ac:dyDescent="0.3">
      <c r="A2366" s="157">
        <v>41836</v>
      </c>
      <c r="B2366" s="158">
        <v>9999.7099999999991</v>
      </c>
      <c r="C2366"/>
      <c r="D2366" s="160"/>
    </row>
    <row r="2367" spans="1:4" x14ac:dyDescent="0.3">
      <c r="A2367" s="157">
        <v>41835</v>
      </c>
      <c r="B2367" s="158">
        <v>9871.51</v>
      </c>
      <c r="C2367"/>
      <c r="D2367" s="160"/>
    </row>
    <row r="2368" spans="1:4" x14ac:dyDescent="0.3">
      <c r="A2368" s="157">
        <v>41834</v>
      </c>
      <c r="B2368" s="158">
        <v>9776.4599999999991</v>
      </c>
      <c r="C2368"/>
      <c r="D2368" s="160"/>
    </row>
    <row r="2369" spans="1:4" x14ac:dyDescent="0.3">
      <c r="A2369" s="157">
        <v>41831</v>
      </c>
      <c r="B2369" s="158">
        <v>9781.6200000000008</v>
      </c>
      <c r="C2369"/>
      <c r="D2369" s="160"/>
    </row>
    <row r="2370" spans="1:4" x14ac:dyDescent="0.3">
      <c r="A2370" s="157">
        <v>41830</v>
      </c>
      <c r="B2370" s="158">
        <v>9922.6</v>
      </c>
      <c r="C2370"/>
      <c r="D2370" s="160"/>
    </row>
    <row r="2371" spans="1:4" x14ac:dyDescent="0.3">
      <c r="A2371" s="157">
        <v>41829</v>
      </c>
      <c r="B2371" s="158">
        <v>9945.17</v>
      </c>
      <c r="C2371"/>
      <c r="D2371" s="160"/>
    </row>
    <row r="2372" spans="1:4" x14ac:dyDescent="0.3">
      <c r="A2372" s="157">
        <v>41828</v>
      </c>
      <c r="B2372" s="158">
        <v>9993.08</v>
      </c>
      <c r="C2372"/>
      <c r="D2372" s="160"/>
    </row>
    <row r="2373" spans="1:4" x14ac:dyDescent="0.3">
      <c r="A2373" s="157">
        <v>41827</v>
      </c>
      <c r="B2373" s="158">
        <v>10208.02</v>
      </c>
      <c r="C2373"/>
      <c r="D2373" s="160"/>
    </row>
    <row r="2374" spans="1:4" x14ac:dyDescent="0.3">
      <c r="A2374" s="157">
        <v>41824</v>
      </c>
      <c r="B2374" s="158">
        <v>10161.42</v>
      </c>
      <c r="C2374"/>
      <c r="D2374" s="160"/>
    </row>
    <row r="2375" spans="1:4" x14ac:dyDescent="0.3">
      <c r="A2375" s="157">
        <v>41823</v>
      </c>
      <c r="B2375" s="158">
        <v>10105.89</v>
      </c>
      <c r="C2375"/>
      <c r="D2375" s="160"/>
    </row>
    <row r="2376" spans="1:4" x14ac:dyDescent="0.3">
      <c r="A2376" s="157">
        <v>41822</v>
      </c>
      <c r="B2376" s="158">
        <v>10115.19</v>
      </c>
      <c r="C2376"/>
      <c r="D2376" s="160"/>
    </row>
    <row r="2377" spans="1:4" x14ac:dyDescent="0.3">
      <c r="A2377" s="157">
        <v>41821</v>
      </c>
      <c r="B2377" s="158">
        <v>9996.74</v>
      </c>
      <c r="C2377"/>
      <c r="D2377" s="160"/>
    </row>
    <row r="2378" spans="1:4" x14ac:dyDescent="0.3">
      <c r="A2378" s="157">
        <v>41820</v>
      </c>
      <c r="B2378" s="158">
        <v>9966.14</v>
      </c>
      <c r="C2378"/>
      <c r="D2378" s="160"/>
    </row>
    <row r="2379" spans="1:4" x14ac:dyDescent="0.3">
      <c r="A2379" s="157">
        <v>41817</v>
      </c>
      <c r="B2379" s="158">
        <v>9831.9</v>
      </c>
      <c r="C2379"/>
      <c r="D2379" s="160"/>
    </row>
    <row r="2380" spans="1:4" x14ac:dyDescent="0.3">
      <c r="A2380" s="157">
        <v>41816</v>
      </c>
      <c r="B2380" s="158">
        <v>9811.48</v>
      </c>
      <c r="C2380"/>
      <c r="D2380" s="160"/>
    </row>
    <row r="2381" spans="1:4" x14ac:dyDescent="0.3">
      <c r="A2381" s="157">
        <v>41815</v>
      </c>
      <c r="B2381" s="158">
        <v>9911.0300000000007</v>
      </c>
      <c r="C2381"/>
      <c r="D2381" s="160"/>
    </row>
    <row r="2382" spans="1:4" x14ac:dyDescent="0.3">
      <c r="A2382" s="157">
        <v>41814</v>
      </c>
      <c r="B2382" s="158">
        <v>9925.34</v>
      </c>
      <c r="C2382"/>
      <c r="D2382" s="160"/>
    </row>
    <row r="2383" spans="1:4" x14ac:dyDescent="0.3">
      <c r="A2383" s="157">
        <v>41813</v>
      </c>
      <c r="B2383" s="158">
        <v>9811.6200000000008</v>
      </c>
      <c r="C2383"/>
      <c r="D2383" s="160"/>
    </row>
    <row r="2384" spans="1:4" x14ac:dyDescent="0.3">
      <c r="A2384" s="157">
        <v>41810</v>
      </c>
      <c r="B2384" s="158">
        <v>9835.35</v>
      </c>
      <c r="C2384"/>
      <c r="D2384" s="160"/>
    </row>
    <row r="2385" spans="1:4" x14ac:dyDescent="0.3">
      <c r="A2385" s="157">
        <v>41809</v>
      </c>
      <c r="B2385" s="158">
        <v>9873.61</v>
      </c>
      <c r="C2385"/>
      <c r="D2385" s="160"/>
    </row>
    <row r="2386" spans="1:4" x14ac:dyDescent="0.3">
      <c r="A2386" s="157">
        <v>41808</v>
      </c>
      <c r="B2386" s="158">
        <v>9896.5499999999993</v>
      </c>
      <c r="C2386"/>
      <c r="D2386" s="160"/>
    </row>
    <row r="2387" spans="1:4" x14ac:dyDescent="0.3">
      <c r="A2387" s="157">
        <v>41807</v>
      </c>
      <c r="B2387" s="158">
        <v>9992.7800000000007</v>
      </c>
      <c r="C2387"/>
      <c r="D2387" s="160"/>
    </row>
    <row r="2388" spans="1:4" x14ac:dyDescent="0.3">
      <c r="A2388" s="157">
        <v>41806</v>
      </c>
      <c r="B2388" s="158">
        <v>9864.2900000000009</v>
      </c>
      <c r="C2388"/>
      <c r="D2388" s="160"/>
    </row>
    <row r="2389" spans="1:4" x14ac:dyDescent="0.3">
      <c r="A2389" s="157">
        <v>41803</v>
      </c>
      <c r="B2389" s="158">
        <v>9874.4599999999991</v>
      </c>
      <c r="C2389"/>
      <c r="D2389" s="160"/>
    </row>
    <row r="2390" spans="1:4" x14ac:dyDescent="0.3">
      <c r="A2390" s="157">
        <v>41802</v>
      </c>
      <c r="B2390" s="158">
        <v>10015.59</v>
      </c>
      <c r="C2390"/>
      <c r="D2390" s="160"/>
    </row>
    <row r="2391" spans="1:4" x14ac:dyDescent="0.3">
      <c r="A2391" s="157">
        <v>41801</v>
      </c>
      <c r="B2391" s="158">
        <v>9982.86</v>
      </c>
      <c r="C2391"/>
      <c r="D2391" s="160"/>
    </row>
    <row r="2392" spans="1:4" x14ac:dyDescent="0.3">
      <c r="A2392" s="157">
        <v>41800</v>
      </c>
      <c r="B2392" s="158">
        <v>10019.94</v>
      </c>
      <c r="C2392"/>
      <c r="D2392" s="160"/>
    </row>
    <row r="2393" spans="1:4" x14ac:dyDescent="0.3">
      <c r="A2393" s="157">
        <v>41799</v>
      </c>
      <c r="B2393" s="158">
        <v>10017.59</v>
      </c>
      <c r="C2393"/>
      <c r="D2393" s="160"/>
    </row>
    <row r="2394" spans="1:4" x14ac:dyDescent="0.3">
      <c r="A2394" s="157">
        <v>41796</v>
      </c>
      <c r="B2394" s="158">
        <v>9924.43</v>
      </c>
      <c r="C2394"/>
      <c r="D2394" s="160"/>
    </row>
    <row r="2395" spans="1:4" x14ac:dyDescent="0.3">
      <c r="A2395" s="157">
        <v>41795</v>
      </c>
      <c r="B2395" s="158">
        <v>9778.32</v>
      </c>
      <c r="C2395"/>
      <c r="D2395" s="160"/>
    </row>
    <row r="2396" spans="1:4" x14ac:dyDescent="0.3">
      <c r="A2396" s="157">
        <v>41794</v>
      </c>
      <c r="B2396" s="158">
        <v>9672.68</v>
      </c>
      <c r="C2396"/>
      <c r="D2396" s="160"/>
    </row>
    <row r="2397" spans="1:4" x14ac:dyDescent="0.3">
      <c r="A2397" s="157">
        <v>41793</v>
      </c>
      <c r="B2397" s="158">
        <v>9690.44</v>
      </c>
      <c r="C2397"/>
      <c r="D2397" s="160"/>
    </row>
    <row r="2398" spans="1:4" x14ac:dyDescent="0.3">
      <c r="A2398" s="157">
        <v>41792</v>
      </c>
      <c r="B2398" s="158">
        <v>9610.85</v>
      </c>
      <c r="C2398"/>
      <c r="D2398" s="160"/>
    </row>
    <row r="2399" spans="1:4" x14ac:dyDescent="0.3">
      <c r="A2399" s="157">
        <v>41789</v>
      </c>
      <c r="B2399" s="158">
        <v>9437.81</v>
      </c>
      <c r="C2399"/>
      <c r="D2399" s="160"/>
    </row>
    <row r="2400" spans="1:4" x14ac:dyDescent="0.3">
      <c r="A2400" s="157">
        <v>41788</v>
      </c>
      <c r="B2400" s="158">
        <v>9445.23</v>
      </c>
      <c r="C2400"/>
      <c r="D2400" s="160"/>
    </row>
    <row r="2401" spans="1:4" x14ac:dyDescent="0.3">
      <c r="A2401" s="157">
        <v>41787</v>
      </c>
      <c r="B2401" s="158">
        <v>9560.4</v>
      </c>
      <c r="C2401"/>
      <c r="D2401" s="160"/>
    </row>
    <row r="2402" spans="1:4" x14ac:dyDescent="0.3">
      <c r="A2402" s="157">
        <v>41786</v>
      </c>
      <c r="B2402" s="158">
        <v>9545.2000000000007</v>
      </c>
      <c r="C2402"/>
      <c r="D2402" s="160"/>
    </row>
    <row r="2403" spans="1:4" x14ac:dyDescent="0.3">
      <c r="A2403" s="157">
        <v>41785</v>
      </c>
      <c r="B2403" s="158">
        <v>9598.75</v>
      </c>
      <c r="C2403"/>
      <c r="D2403" s="160"/>
    </row>
    <row r="2404" spans="1:4" x14ac:dyDescent="0.3">
      <c r="A2404" s="157">
        <v>41782</v>
      </c>
      <c r="B2404" s="158">
        <v>9609.25</v>
      </c>
      <c r="C2404"/>
      <c r="D2404" s="160"/>
    </row>
    <row r="2405" spans="1:4" x14ac:dyDescent="0.3">
      <c r="A2405" s="157">
        <v>41781</v>
      </c>
      <c r="B2405" s="158">
        <v>9490.91</v>
      </c>
      <c r="C2405"/>
      <c r="D2405" s="160"/>
    </row>
    <row r="2406" spans="1:4" x14ac:dyDescent="0.3">
      <c r="A2406" s="157">
        <v>41780</v>
      </c>
      <c r="B2406" s="158">
        <v>9460.2800000000007</v>
      </c>
      <c r="C2406"/>
      <c r="D2406" s="160"/>
    </row>
    <row r="2407" spans="1:4" x14ac:dyDescent="0.3">
      <c r="A2407" s="157">
        <v>41779</v>
      </c>
      <c r="B2407" s="158">
        <v>9489.73</v>
      </c>
      <c r="C2407"/>
      <c r="D2407" s="160"/>
    </row>
    <row r="2408" spans="1:4" x14ac:dyDescent="0.3">
      <c r="A2408" s="157">
        <v>41778</v>
      </c>
      <c r="B2408" s="158">
        <v>9474.16</v>
      </c>
      <c r="C2408"/>
      <c r="D2408" s="160"/>
    </row>
    <row r="2409" spans="1:4" x14ac:dyDescent="0.3">
      <c r="A2409" s="157">
        <v>41775</v>
      </c>
      <c r="B2409" s="158">
        <v>9395.18</v>
      </c>
      <c r="C2409"/>
      <c r="D2409" s="160"/>
    </row>
    <row r="2410" spans="1:4" x14ac:dyDescent="0.3">
      <c r="A2410" s="157">
        <v>41774</v>
      </c>
      <c r="B2410" s="158">
        <v>9286.39</v>
      </c>
      <c r="C2410"/>
      <c r="D2410" s="160"/>
    </row>
    <row r="2411" spans="1:4" x14ac:dyDescent="0.3">
      <c r="A2411" s="157">
        <v>41773</v>
      </c>
      <c r="B2411" s="158">
        <v>9267.61</v>
      </c>
      <c r="C2411"/>
      <c r="D2411" s="160"/>
    </row>
    <row r="2412" spans="1:4" x14ac:dyDescent="0.3">
      <c r="A2412" s="157">
        <v>41772</v>
      </c>
      <c r="B2412" s="158">
        <v>9267.61</v>
      </c>
      <c r="C2412"/>
      <c r="D2412" s="160"/>
    </row>
    <row r="2413" spans="1:4" x14ac:dyDescent="0.3">
      <c r="A2413" s="157">
        <v>41771</v>
      </c>
      <c r="B2413" s="158">
        <v>9144.41</v>
      </c>
      <c r="C2413"/>
      <c r="D2413" s="160"/>
    </row>
    <row r="2414" spans="1:4" x14ac:dyDescent="0.3">
      <c r="A2414" s="157">
        <v>41768</v>
      </c>
      <c r="B2414" s="158">
        <v>8941.77</v>
      </c>
      <c r="C2414"/>
      <c r="D2414" s="160"/>
    </row>
    <row r="2415" spans="1:4" x14ac:dyDescent="0.3">
      <c r="A2415" s="157">
        <v>41767</v>
      </c>
      <c r="B2415" s="158">
        <v>8682.3700000000008</v>
      </c>
      <c r="C2415"/>
      <c r="D2415" s="160"/>
    </row>
    <row r="2416" spans="1:4" x14ac:dyDescent="0.3">
      <c r="A2416" s="157">
        <v>41766</v>
      </c>
      <c r="B2416" s="158">
        <v>8672.8799999999992</v>
      </c>
      <c r="C2416"/>
      <c r="D2416" s="160"/>
    </row>
    <row r="2417" spans="1:4" x14ac:dyDescent="0.3">
      <c r="A2417" s="157">
        <v>41765</v>
      </c>
      <c r="B2417" s="158">
        <v>8754.69</v>
      </c>
      <c r="C2417"/>
      <c r="D2417" s="160"/>
    </row>
    <row r="2418" spans="1:4" x14ac:dyDescent="0.3">
      <c r="A2418" s="157">
        <v>41764</v>
      </c>
      <c r="B2418" s="158">
        <v>8733.92</v>
      </c>
      <c r="C2418"/>
      <c r="D2418" s="160"/>
    </row>
    <row r="2419" spans="1:4" x14ac:dyDescent="0.3">
      <c r="A2419" s="157">
        <v>41761</v>
      </c>
      <c r="B2419" s="158">
        <v>8727.93</v>
      </c>
      <c r="C2419"/>
      <c r="D2419" s="160"/>
    </row>
    <row r="2420" spans="1:4" x14ac:dyDescent="0.3">
      <c r="A2420" s="157">
        <v>41759</v>
      </c>
      <c r="B2420" s="158">
        <v>8730.0499999999993</v>
      </c>
      <c r="C2420"/>
      <c r="D2420" s="160"/>
    </row>
    <row r="2421" spans="1:4" x14ac:dyDescent="0.3">
      <c r="A2421" s="157">
        <v>41758</v>
      </c>
      <c r="B2421" s="158">
        <v>8754.65</v>
      </c>
      <c r="C2421"/>
      <c r="D2421" s="160"/>
    </row>
    <row r="2422" spans="1:4" x14ac:dyDescent="0.3">
      <c r="A2422" s="157">
        <v>41757</v>
      </c>
      <c r="B2422" s="158">
        <v>8814.59</v>
      </c>
      <c r="C2422"/>
      <c r="D2422" s="160"/>
    </row>
    <row r="2423" spans="1:4" x14ac:dyDescent="0.3">
      <c r="A2423" s="157">
        <v>41754</v>
      </c>
      <c r="B2423" s="158">
        <v>8842.6200000000008</v>
      </c>
      <c r="C2423"/>
      <c r="D2423" s="160"/>
    </row>
    <row r="2424" spans="1:4" x14ac:dyDescent="0.3">
      <c r="A2424" s="157">
        <v>41752</v>
      </c>
      <c r="B2424" s="158">
        <v>8918.2999999999993</v>
      </c>
      <c r="C2424"/>
      <c r="D2424" s="160"/>
    </row>
    <row r="2425" spans="1:4" x14ac:dyDescent="0.3">
      <c r="A2425" s="157">
        <v>41751</v>
      </c>
      <c r="B2425" s="158">
        <v>8885.09</v>
      </c>
      <c r="C2425"/>
      <c r="D2425" s="160"/>
    </row>
    <row r="2426" spans="1:4" x14ac:dyDescent="0.3">
      <c r="A2426" s="157">
        <v>41750</v>
      </c>
      <c r="B2426" s="158">
        <v>8887.7800000000007</v>
      </c>
      <c r="C2426"/>
      <c r="D2426" s="160"/>
    </row>
    <row r="2427" spans="1:4" x14ac:dyDescent="0.3">
      <c r="A2427" s="157">
        <v>41746</v>
      </c>
      <c r="B2427" s="158">
        <v>8837.92</v>
      </c>
      <c r="C2427"/>
      <c r="D2427" s="160"/>
    </row>
    <row r="2428" spans="1:4" x14ac:dyDescent="0.3">
      <c r="A2428" s="157">
        <v>41745</v>
      </c>
      <c r="B2428" s="158">
        <v>8702.2199999999993</v>
      </c>
      <c r="C2428"/>
      <c r="D2428" s="160"/>
    </row>
    <row r="2429" spans="1:4" x14ac:dyDescent="0.3">
      <c r="A2429" s="157">
        <v>41744</v>
      </c>
      <c r="B2429" s="158">
        <v>8777.57</v>
      </c>
      <c r="C2429"/>
      <c r="D2429" s="160"/>
    </row>
    <row r="2430" spans="1:4" x14ac:dyDescent="0.3">
      <c r="A2430" s="157">
        <v>41740</v>
      </c>
      <c r="B2430" s="158">
        <v>8833.8799999999992</v>
      </c>
      <c r="C2430"/>
      <c r="D2430" s="160"/>
    </row>
    <row r="2431" spans="1:4" x14ac:dyDescent="0.3">
      <c r="A2431" s="157">
        <v>41739</v>
      </c>
      <c r="B2431" s="158">
        <v>8860.09</v>
      </c>
      <c r="C2431"/>
      <c r="D2431" s="160"/>
    </row>
    <row r="2432" spans="1:4" x14ac:dyDescent="0.3">
      <c r="A2432" s="157">
        <v>41738</v>
      </c>
      <c r="B2432" s="158">
        <v>8859.81</v>
      </c>
      <c r="C2432"/>
      <c r="D2432" s="160"/>
    </row>
    <row r="2433" spans="1:4" x14ac:dyDescent="0.3">
      <c r="A2433" s="157">
        <v>41736</v>
      </c>
      <c r="B2433" s="158">
        <v>8727.98</v>
      </c>
      <c r="C2433"/>
      <c r="D2433" s="160"/>
    </row>
    <row r="2434" spans="1:4" x14ac:dyDescent="0.3">
      <c r="A2434" s="157">
        <v>41733</v>
      </c>
      <c r="B2434" s="158">
        <v>8727.0300000000007</v>
      </c>
      <c r="C2434"/>
      <c r="D2434" s="160"/>
    </row>
    <row r="2435" spans="1:4" x14ac:dyDescent="0.3">
      <c r="A2435" s="157">
        <v>41732</v>
      </c>
      <c r="B2435" s="158">
        <v>8781.4699999999993</v>
      </c>
      <c r="C2435"/>
      <c r="D2435" s="160"/>
    </row>
    <row r="2436" spans="1:4" x14ac:dyDescent="0.3">
      <c r="A2436" s="157">
        <v>41731</v>
      </c>
      <c r="B2436" s="158">
        <v>8802.9500000000007</v>
      </c>
      <c r="C2436"/>
      <c r="D2436" s="160"/>
    </row>
    <row r="2437" spans="1:4" x14ac:dyDescent="0.3">
      <c r="A2437" s="157">
        <v>41730</v>
      </c>
      <c r="B2437" s="158">
        <v>8761.86</v>
      </c>
      <c r="C2437"/>
      <c r="D2437" s="160"/>
    </row>
    <row r="2438" spans="1:4" x14ac:dyDescent="0.3">
      <c r="A2438" s="157">
        <v>41729</v>
      </c>
      <c r="B2438" s="158">
        <v>8739.91</v>
      </c>
      <c r="C2438"/>
      <c r="D2438" s="160"/>
    </row>
    <row r="2439" spans="1:4" x14ac:dyDescent="0.3">
      <c r="A2439" s="157">
        <v>41726</v>
      </c>
      <c r="B2439" s="158">
        <v>8729.0499999999993</v>
      </c>
      <c r="C2439"/>
      <c r="D2439" s="160"/>
    </row>
    <row r="2440" spans="1:4" x14ac:dyDescent="0.3">
      <c r="A2440" s="157">
        <v>41725</v>
      </c>
      <c r="B2440" s="158">
        <v>8658.4599999999991</v>
      </c>
      <c r="C2440"/>
      <c r="D2440" s="160"/>
    </row>
    <row r="2441" spans="1:4" x14ac:dyDescent="0.3">
      <c r="A2441" s="157">
        <v>41724</v>
      </c>
      <c r="B2441" s="158">
        <v>8603.6299999999992</v>
      </c>
      <c r="C2441"/>
      <c r="D2441" s="160"/>
    </row>
    <row r="2442" spans="1:4" x14ac:dyDescent="0.3">
      <c r="A2442" s="157">
        <v>41723</v>
      </c>
      <c r="B2442" s="158">
        <v>8588.44</v>
      </c>
      <c r="C2442"/>
      <c r="D2442" s="160"/>
    </row>
    <row r="2443" spans="1:4" x14ac:dyDescent="0.3">
      <c r="A2443" s="157">
        <v>41722</v>
      </c>
      <c r="B2443" s="158">
        <v>8580.26</v>
      </c>
      <c r="C2443"/>
      <c r="D2443" s="160"/>
    </row>
    <row r="2444" spans="1:4" x14ac:dyDescent="0.3">
      <c r="A2444" s="157">
        <v>41720</v>
      </c>
      <c r="B2444" s="158">
        <v>8464.2800000000007</v>
      </c>
      <c r="C2444"/>
      <c r="D2444" s="160"/>
    </row>
    <row r="2445" spans="1:4" x14ac:dyDescent="0.3">
      <c r="A2445" s="157">
        <v>41719</v>
      </c>
      <c r="B2445" s="158">
        <v>8462.06</v>
      </c>
      <c r="C2445"/>
      <c r="D2445" s="160"/>
    </row>
    <row r="2446" spans="1:4" x14ac:dyDescent="0.3">
      <c r="A2446" s="157">
        <v>41718</v>
      </c>
      <c r="B2446" s="158">
        <v>8448.89</v>
      </c>
      <c r="C2446"/>
      <c r="D2446" s="160"/>
    </row>
    <row r="2447" spans="1:4" x14ac:dyDescent="0.3">
      <c r="A2447" s="157">
        <v>41717</v>
      </c>
      <c r="B2447" s="158">
        <v>8502.2800000000007</v>
      </c>
      <c r="C2447"/>
      <c r="D2447" s="160"/>
    </row>
    <row r="2448" spans="1:4" x14ac:dyDescent="0.3">
      <c r="A2448" s="157">
        <v>41716</v>
      </c>
      <c r="B2448" s="158">
        <v>8492.6200000000008</v>
      </c>
      <c r="C2448"/>
      <c r="D2448" s="160"/>
    </row>
    <row r="2449" spans="1:4" x14ac:dyDescent="0.3">
      <c r="A2449" s="157">
        <v>41712</v>
      </c>
      <c r="B2449" s="158">
        <v>8476.35</v>
      </c>
      <c r="C2449"/>
      <c r="D2449" s="160"/>
    </row>
    <row r="2450" spans="1:4" x14ac:dyDescent="0.3">
      <c r="A2450" s="157">
        <v>41711</v>
      </c>
      <c r="B2450" s="158">
        <v>8461.93</v>
      </c>
      <c r="C2450"/>
      <c r="D2450" s="160"/>
    </row>
    <row r="2451" spans="1:4" x14ac:dyDescent="0.3">
      <c r="A2451" s="157">
        <v>41710</v>
      </c>
      <c r="B2451" s="158">
        <v>8492.91</v>
      </c>
      <c r="C2451"/>
      <c r="D2451" s="160"/>
    </row>
    <row r="2452" spans="1:4" x14ac:dyDescent="0.3">
      <c r="A2452" s="157">
        <v>41709</v>
      </c>
      <c r="B2452" s="158">
        <v>8486.39</v>
      </c>
      <c r="C2452"/>
      <c r="D2452" s="160"/>
    </row>
    <row r="2453" spans="1:4" x14ac:dyDescent="0.3">
      <c r="A2453" s="157">
        <v>41708</v>
      </c>
      <c r="B2453" s="158">
        <v>8518.0300000000007</v>
      </c>
      <c r="C2453"/>
      <c r="D2453" s="160"/>
    </row>
    <row r="2454" spans="1:4" x14ac:dyDescent="0.3">
      <c r="A2454" s="157">
        <v>41705</v>
      </c>
      <c r="B2454" s="158">
        <v>8504.2199999999993</v>
      </c>
      <c r="C2454"/>
      <c r="D2454" s="160"/>
    </row>
    <row r="2455" spans="1:4" x14ac:dyDescent="0.3">
      <c r="A2455" s="157">
        <v>41704</v>
      </c>
      <c r="B2455" s="158">
        <v>8340.7099999999991</v>
      </c>
      <c r="C2455"/>
      <c r="D2455" s="160"/>
    </row>
    <row r="2456" spans="1:4" x14ac:dyDescent="0.3">
      <c r="A2456" s="157">
        <v>41703</v>
      </c>
      <c r="B2456" s="158">
        <v>8246.2199999999993</v>
      </c>
      <c r="C2456"/>
      <c r="D2456" s="160"/>
    </row>
    <row r="2457" spans="1:4" x14ac:dyDescent="0.3">
      <c r="A2457" s="157">
        <v>41702</v>
      </c>
      <c r="B2457" s="158">
        <v>8206.23</v>
      </c>
      <c r="C2457"/>
      <c r="D2457" s="160"/>
    </row>
    <row r="2458" spans="1:4" x14ac:dyDescent="0.3">
      <c r="A2458" s="157">
        <v>41701</v>
      </c>
      <c r="B2458" s="158">
        <v>8105.73</v>
      </c>
      <c r="C2458"/>
      <c r="D2458" s="160"/>
    </row>
    <row r="2459" spans="1:4" x14ac:dyDescent="0.3">
      <c r="A2459" s="157">
        <v>41698</v>
      </c>
      <c r="B2459" s="158">
        <v>8178.01</v>
      </c>
      <c r="C2459"/>
      <c r="D2459" s="160"/>
    </row>
    <row r="2460" spans="1:4" x14ac:dyDescent="0.3">
      <c r="A2460" s="157">
        <v>41696</v>
      </c>
      <c r="B2460" s="158">
        <v>8128.29</v>
      </c>
      <c r="C2460"/>
      <c r="D2460" s="160"/>
    </row>
    <row r="2461" spans="1:4" x14ac:dyDescent="0.3">
      <c r="A2461" s="157">
        <v>41695</v>
      </c>
      <c r="B2461" s="158">
        <v>8077.85</v>
      </c>
      <c r="C2461"/>
      <c r="D2461" s="160"/>
    </row>
    <row r="2462" spans="1:4" x14ac:dyDescent="0.3">
      <c r="A2462" s="157">
        <v>41694</v>
      </c>
      <c r="B2462" s="158">
        <v>8059.67</v>
      </c>
      <c r="C2462"/>
      <c r="D2462" s="160"/>
    </row>
    <row r="2463" spans="1:4" x14ac:dyDescent="0.3">
      <c r="A2463" s="157">
        <v>41691</v>
      </c>
      <c r="B2463" s="158">
        <v>8019.69</v>
      </c>
      <c r="C2463"/>
      <c r="D2463" s="160"/>
    </row>
    <row r="2464" spans="1:4" x14ac:dyDescent="0.3">
      <c r="A2464" s="157">
        <v>41690</v>
      </c>
      <c r="B2464" s="158">
        <v>7936.34</v>
      </c>
      <c r="C2464"/>
      <c r="D2464" s="160"/>
    </row>
    <row r="2465" spans="1:4" x14ac:dyDescent="0.3">
      <c r="A2465" s="157">
        <v>41689</v>
      </c>
      <c r="B2465" s="158">
        <v>8016.2</v>
      </c>
      <c r="C2465"/>
      <c r="D2465" s="160"/>
    </row>
    <row r="2466" spans="1:4" x14ac:dyDescent="0.3">
      <c r="A2466" s="157">
        <v>41688</v>
      </c>
      <c r="B2466" s="158">
        <v>7982.78</v>
      </c>
      <c r="C2466"/>
      <c r="D2466" s="160"/>
    </row>
    <row r="2467" spans="1:4" x14ac:dyDescent="0.3">
      <c r="A2467" s="157">
        <v>41687</v>
      </c>
      <c r="B2467" s="158">
        <v>7912.71</v>
      </c>
      <c r="C2467"/>
      <c r="D2467" s="160"/>
    </row>
    <row r="2468" spans="1:4" x14ac:dyDescent="0.3">
      <c r="A2468" s="157">
        <v>41684</v>
      </c>
      <c r="B2468" s="158">
        <v>7878.87</v>
      </c>
      <c r="C2468"/>
      <c r="D2468" s="160"/>
    </row>
    <row r="2469" spans="1:4" x14ac:dyDescent="0.3">
      <c r="A2469" s="157">
        <v>41683</v>
      </c>
      <c r="B2469" s="158">
        <v>7817.32</v>
      </c>
      <c r="C2469"/>
      <c r="D2469" s="160"/>
    </row>
    <row r="2470" spans="1:4" x14ac:dyDescent="0.3">
      <c r="A2470" s="157">
        <v>41682</v>
      </c>
      <c r="B2470" s="158">
        <v>7925.09</v>
      </c>
      <c r="C2470"/>
      <c r="D2470" s="160"/>
    </row>
    <row r="2471" spans="1:4" x14ac:dyDescent="0.3">
      <c r="A2471" s="157">
        <v>41681</v>
      </c>
      <c r="B2471" s="158">
        <v>7896.79</v>
      </c>
      <c r="C2471"/>
      <c r="D2471" s="160"/>
    </row>
    <row r="2472" spans="1:4" x14ac:dyDescent="0.3">
      <c r="A2472" s="157">
        <v>41680</v>
      </c>
      <c r="B2472" s="158">
        <v>7884.34</v>
      </c>
      <c r="C2472"/>
      <c r="D2472" s="160"/>
    </row>
    <row r="2473" spans="1:4" x14ac:dyDescent="0.3">
      <c r="A2473" s="157">
        <v>41677</v>
      </c>
      <c r="B2473" s="158">
        <v>7896.41</v>
      </c>
      <c r="C2473"/>
      <c r="D2473" s="160"/>
    </row>
    <row r="2474" spans="1:4" x14ac:dyDescent="0.3">
      <c r="A2474" s="157">
        <v>41676</v>
      </c>
      <c r="B2474" s="158">
        <v>7861.05</v>
      </c>
      <c r="C2474"/>
      <c r="D2474" s="160"/>
    </row>
    <row r="2475" spans="1:4" x14ac:dyDescent="0.3">
      <c r="A2475" s="157">
        <v>41675</v>
      </c>
      <c r="B2475" s="158">
        <v>7842.98</v>
      </c>
      <c r="C2475"/>
      <c r="D2475" s="160"/>
    </row>
    <row r="2476" spans="1:4" x14ac:dyDescent="0.3">
      <c r="A2476" s="157">
        <v>41674</v>
      </c>
      <c r="B2476" s="158">
        <v>7814.96</v>
      </c>
      <c r="C2476"/>
      <c r="D2476" s="160"/>
    </row>
    <row r="2477" spans="1:4" x14ac:dyDescent="0.3">
      <c r="A2477" s="157">
        <v>41673</v>
      </c>
      <c r="B2477" s="158">
        <v>7816.09</v>
      </c>
      <c r="C2477"/>
      <c r="D2477" s="16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EE2-D033-49ED-ADA9-5C32735C2B62}">
  <dimension ref="A1:Q48"/>
  <sheetViews>
    <sheetView showGridLines="0" topLeftCell="A28" zoomScaleNormal="100" workbookViewId="0">
      <selection activeCell="H45" sqref="H45"/>
    </sheetView>
  </sheetViews>
  <sheetFormatPr defaultColWidth="11.6640625" defaultRowHeight="16.5" customHeight="1" x14ac:dyDescent="0.3"/>
  <cols>
    <col min="1" max="3" width="1.21875" style="100" customWidth="1"/>
    <col min="4" max="4" width="40.6640625" style="100" customWidth="1"/>
    <col min="5" max="6" width="12.6640625" style="100" customWidth="1"/>
    <col min="7" max="7" width="2.6640625" style="100" customWidth="1"/>
    <col min="8" max="8" width="11.6640625" style="100"/>
    <col min="9" max="9" width="11.6640625" style="100" customWidth="1"/>
    <col min="10" max="16384" width="11.6640625" style="100"/>
  </cols>
  <sheetData>
    <row r="1" spans="1:17" ht="32.4" x14ac:dyDescent="0.3">
      <c r="A1" s="138" t="str">
        <f>Index!A1</f>
        <v>Alkem Laboratories Limited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7" s="101" customFormat="1" ht="20.100000000000001" customHeight="1" x14ac:dyDescent="0.3">
      <c r="A2" s="140" t="s">
        <v>299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00"/>
    </row>
    <row r="3" spans="1:17" ht="16.5" customHeight="1" x14ac:dyDescent="0.3">
      <c r="A3" s="142" t="s">
        <v>300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</row>
    <row r="6" spans="1:17" ht="16.5" customHeight="1" x14ac:dyDescent="0.3">
      <c r="A6" s="144" t="s">
        <v>301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Q6" s="102"/>
    </row>
    <row r="7" spans="1:17" ht="5.25" customHeight="1" x14ac:dyDescent="0.3"/>
    <row r="8" spans="1:17" ht="16.5" customHeight="1" x14ac:dyDescent="0.3">
      <c r="B8" s="103"/>
      <c r="C8" s="104"/>
      <c r="H8" s="275" t="s">
        <v>62</v>
      </c>
      <c r="I8" s="177" t="s">
        <v>331</v>
      </c>
      <c r="J8" s="177" t="s">
        <v>332</v>
      </c>
      <c r="K8" s="177" t="s">
        <v>332</v>
      </c>
      <c r="L8" s="177" t="s">
        <v>153</v>
      </c>
      <c r="M8" s="177" t="s">
        <v>302</v>
      </c>
      <c r="N8" s="177" t="s">
        <v>303</v>
      </c>
    </row>
    <row r="9" spans="1:17" ht="16.5" customHeight="1" x14ac:dyDescent="0.3">
      <c r="C9" s="105"/>
      <c r="D9" s="106" t="s">
        <v>266</v>
      </c>
      <c r="E9" s="107"/>
      <c r="F9" s="107"/>
      <c r="G9" s="107"/>
      <c r="H9" s="178" t="s">
        <v>330</v>
      </c>
      <c r="I9" s="178" t="s">
        <v>190</v>
      </c>
      <c r="J9" s="178" t="s">
        <v>62</v>
      </c>
      <c r="K9" s="178" t="s">
        <v>304</v>
      </c>
      <c r="L9" s="178" t="s">
        <v>333</v>
      </c>
      <c r="M9" s="178" t="s">
        <v>306</v>
      </c>
      <c r="N9" s="178" t="s">
        <v>306</v>
      </c>
    </row>
    <row r="10" spans="1:17" ht="16.5" customHeight="1" x14ac:dyDescent="0.3">
      <c r="D10" s="76" t="s">
        <v>269</v>
      </c>
      <c r="H10" s="219">
        <f>Comps!J8</f>
        <v>1073865.9000000001</v>
      </c>
      <c r="I10" s="219">
        <f>Comps!K8</f>
        <v>19766.03</v>
      </c>
      <c r="J10" s="108">
        <f t="shared" ref="J10:J18" si="0">I10/H10</f>
        <v>1.8406422999370776E-2</v>
      </c>
      <c r="K10" s="108">
        <f t="shared" ref="K10:K18" si="1">I10/(H10+I10)</f>
        <v>1.8073749913282065E-2</v>
      </c>
      <c r="L10" s="241">
        <f>Comps_Data!P8</f>
        <v>0.24460000000000001</v>
      </c>
      <c r="M10" s="109">
        <v>0.35</v>
      </c>
      <c r="N10" s="110">
        <f t="shared" ref="N10:N18" si="2">M10/(1+J10*(1-L10))</f>
        <v>0.34520026239212254</v>
      </c>
    </row>
    <row r="11" spans="1:17" ht="16.5" customHeight="1" x14ac:dyDescent="0.3">
      <c r="D11" s="76" t="s">
        <v>270</v>
      </c>
      <c r="H11" s="219">
        <f>Comps!J9</f>
        <v>934402.86</v>
      </c>
      <c r="I11" s="219">
        <f>Comps!K9</f>
        <v>1910.79</v>
      </c>
      <c r="J11" s="108">
        <f t="shared" si="0"/>
        <v>2.0449316689805509E-3</v>
      </c>
      <c r="K11" s="108">
        <f t="shared" si="1"/>
        <v>2.0407584573823097E-3</v>
      </c>
      <c r="L11" s="241">
        <f>Comps_Data!P9</f>
        <v>0.20549999999999999</v>
      </c>
      <c r="M11" s="109">
        <v>0.49</v>
      </c>
      <c r="N11" s="110">
        <f t="shared" si="2"/>
        <v>0.48920518920428541</v>
      </c>
    </row>
    <row r="12" spans="1:17" ht="16.5" customHeight="1" x14ac:dyDescent="0.3">
      <c r="D12" s="76" t="s">
        <v>271</v>
      </c>
      <c r="H12" s="219">
        <f>Comps!J10</f>
        <v>888853.01399999985</v>
      </c>
      <c r="I12" s="219">
        <f>Comps!K10</f>
        <v>44697.86</v>
      </c>
      <c r="J12" s="108">
        <f t="shared" si="0"/>
        <v>5.0287122050530625E-2</v>
      </c>
      <c r="K12" s="108">
        <f t="shared" si="1"/>
        <v>4.7879404588292429E-2</v>
      </c>
      <c r="L12" s="241">
        <f>Comps_Data!P10</f>
        <v>0.30640000000000001</v>
      </c>
      <c r="M12" s="109">
        <v>0.28000000000000003</v>
      </c>
      <c r="N12" s="110">
        <f t="shared" si="2"/>
        <v>0.2705629933510218</v>
      </c>
    </row>
    <row r="13" spans="1:17" ht="16.5" customHeight="1" x14ac:dyDescent="0.3">
      <c r="D13" s="76" t="s">
        <v>273</v>
      </c>
      <c r="H13" s="219">
        <f>Comps!J11</f>
        <v>863666.34750000003</v>
      </c>
      <c r="I13" s="219">
        <f>Comps!K11</f>
        <v>1786.67</v>
      </c>
      <c r="J13" s="108">
        <f t="shared" si="0"/>
        <v>2.0687039678826897E-3</v>
      </c>
      <c r="K13" s="108">
        <f t="shared" si="1"/>
        <v>2.0644332665926603E-3</v>
      </c>
      <c r="L13" s="241">
        <f>Comps_Data!P11</f>
        <v>0.20230000000000001</v>
      </c>
      <c r="M13" s="109">
        <v>0.66</v>
      </c>
      <c r="N13" s="110">
        <f t="shared" si="2"/>
        <v>0.65891265893341466</v>
      </c>
      <c r="Q13" s="111"/>
    </row>
    <row r="14" spans="1:17" ht="16.5" customHeight="1" x14ac:dyDescent="0.3">
      <c r="D14" s="76" t="s">
        <v>274</v>
      </c>
      <c r="H14" s="219">
        <f>Comps!J12</f>
        <v>737113.96199999994</v>
      </c>
      <c r="I14" s="219">
        <f>Comps!K12</f>
        <v>37684.11</v>
      </c>
      <c r="J14" s="108">
        <f t="shared" si="0"/>
        <v>5.1123858646975412E-2</v>
      </c>
      <c r="K14" s="108">
        <f t="shared" si="1"/>
        <v>4.8637330630838228E-2</v>
      </c>
      <c r="L14" s="241">
        <f>Comps_Data!P12</f>
        <v>0.17100000000000001</v>
      </c>
      <c r="M14" s="109">
        <v>0.62</v>
      </c>
      <c r="N14" s="110">
        <f t="shared" si="2"/>
        <v>0.59479172801927982</v>
      </c>
    </row>
    <row r="15" spans="1:17" ht="16.5" customHeight="1" x14ac:dyDescent="0.3">
      <c r="D15" s="76" t="s">
        <v>275</v>
      </c>
      <c r="H15" s="219">
        <f>Comps!J13</f>
        <v>612188.69999999995</v>
      </c>
      <c r="I15" s="219">
        <f>Comps!K13</f>
        <v>66201.73</v>
      </c>
      <c r="J15" s="108">
        <f t="shared" si="0"/>
        <v>0.10813941845055292</v>
      </c>
      <c r="K15" s="108">
        <f t="shared" si="1"/>
        <v>9.758647391296485E-2</v>
      </c>
      <c r="L15" s="241">
        <f>Comps_Data!P13</f>
        <v>0.28670000000000001</v>
      </c>
      <c r="M15" s="109">
        <v>0.05</v>
      </c>
      <c r="N15" s="110">
        <f t="shared" si="2"/>
        <v>4.6419400237088508E-2</v>
      </c>
    </row>
    <row r="16" spans="1:17" ht="16.5" customHeight="1" x14ac:dyDescent="0.3">
      <c r="D16" s="76" t="s">
        <v>276</v>
      </c>
      <c r="H16" s="219">
        <f>Comps!J14</f>
        <v>609581.75</v>
      </c>
      <c r="I16" s="219">
        <f>Comps!K14</f>
        <v>911.48</v>
      </c>
      <c r="J16" s="108">
        <f t="shared" si="0"/>
        <v>1.4952547381872898E-3</v>
      </c>
      <c r="K16" s="108">
        <f t="shared" si="1"/>
        <v>1.493022289534644E-3</v>
      </c>
      <c r="L16" s="241">
        <f>Comps_Data!P14</f>
        <v>0.25440000000000002</v>
      </c>
      <c r="M16" s="109">
        <v>0.25</v>
      </c>
      <c r="N16" s="110">
        <f t="shared" si="2"/>
        <v>0.24972159490004969</v>
      </c>
    </row>
    <row r="17" spans="1:16" ht="16.5" customHeight="1" x14ac:dyDescent="0.3">
      <c r="D17" s="76" t="s">
        <v>277</v>
      </c>
      <c r="H17" s="219">
        <f>Comps!J15</f>
        <v>367363.53</v>
      </c>
      <c r="I17" s="219">
        <f>Comps!K15</f>
        <v>212.88</v>
      </c>
      <c r="J17" s="108">
        <f t="shared" si="0"/>
        <v>5.7948049443013567E-4</v>
      </c>
      <c r="K17" s="108">
        <f t="shared" si="1"/>
        <v>5.791448912622004E-4</v>
      </c>
      <c r="L17" s="241">
        <f>Comps_Data!P15</f>
        <v>0.28089999999999998</v>
      </c>
      <c r="M17" s="109">
        <v>0.22</v>
      </c>
      <c r="N17" s="110">
        <f t="shared" si="2"/>
        <v>0.21990836321227494</v>
      </c>
    </row>
    <row r="18" spans="1:16" ht="16.5" customHeight="1" x14ac:dyDescent="0.3">
      <c r="D18" s="76" t="s">
        <v>278</v>
      </c>
      <c r="E18" s="107"/>
      <c r="F18" s="107"/>
      <c r="G18" s="107"/>
      <c r="H18" s="220">
        <f>Comps!J16</f>
        <v>308857.42800000001</v>
      </c>
      <c r="I18" s="220">
        <f>Comps!K16</f>
        <v>19789.53</v>
      </c>
      <c r="J18" s="112">
        <f t="shared" si="0"/>
        <v>6.4073349726916709E-2</v>
      </c>
      <c r="K18" s="112">
        <f t="shared" si="1"/>
        <v>6.0215162557506467E-2</v>
      </c>
      <c r="L18" s="242">
        <f>Comps_Data!P16</f>
        <v>0.32450000000000001</v>
      </c>
      <c r="M18" s="113">
        <v>0.42</v>
      </c>
      <c r="N18" s="114">
        <f t="shared" si="2"/>
        <v>0.40257589229830359</v>
      </c>
    </row>
    <row r="19" spans="1:16" ht="16.5" customHeight="1" x14ac:dyDescent="0.3">
      <c r="D19" s="145" t="s">
        <v>279</v>
      </c>
      <c r="E19" s="146"/>
      <c r="F19" s="146"/>
      <c r="G19" s="146"/>
      <c r="H19" s="147"/>
      <c r="I19" s="148"/>
      <c r="J19" s="149">
        <f t="shared" ref="J19:N19" si="3">AVERAGE(J10:J18)</f>
        <v>3.313539363820301E-2</v>
      </c>
      <c r="K19" s="149">
        <f t="shared" si="3"/>
        <v>3.095216450085065E-2</v>
      </c>
      <c r="L19" s="149">
        <f t="shared" si="3"/>
        <v>0.25292222222222221</v>
      </c>
      <c r="M19" s="150">
        <f t="shared" si="3"/>
        <v>0.37111111111111117</v>
      </c>
      <c r="N19" s="150">
        <f t="shared" si="3"/>
        <v>0.3641442313942046</v>
      </c>
    </row>
    <row r="20" spans="1:16" ht="16.5" customHeight="1" x14ac:dyDescent="0.3">
      <c r="D20" s="151" t="s">
        <v>280</v>
      </c>
      <c r="E20" s="152"/>
      <c r="F20" s="146"/>
      <c r="G20" s="146"/>
      <c r="H20" s="147"/>
      <c r="I20" s="148"/>
      <c r="J20" s="149">
        <f t="shared" ref="J20:N20" si="4">MEDIAN(J10:J18)</f>
        <v>1.8406422999370776E-2</v>
      </c>
      <c r="K20" s="149">
        <f t="shared" si="4"/>
        <v>1.8073749913282065E-2</v>
      </c>
      <c r="L20" s="149">
        <f t="shared" si="4"/>
        <v>0.25440000000000002</v>
      </c>
      <c r="M20" s="150">
        <f t="shared" si="4"/>
        <v>0.35</v>
      </c>
      <c r="N20" s="277">
        <f t="shared" si="4"/>
        <v>0.34520026239212254</v>
      </c>
    </row>
    <row r="21" spans="1:16" ht="16.5" customHeight="1" x14ac:dyDescent="0.3">
      <c r="B21" s="115"/>
      <c r="H21" s="116"/>
      <c r="I21" s="116"/>
    </row>
    <row r="22" spans="1:16" ht="16.5" customHeight="1" x14ac:dyDescent="0.3">
      <c r="D22" s="170" t="s">
        <v>307</v>
      </c>
      <c r="E22" s="171"/>
      <c r="F22" s="171"/>
      <c r="G22" s="171"/>
      <c r="H22" s="237">
        <f>Comps!J22</f>
        <v>648206.90549999988</v>
      </c>
      <c r="I22" s="237">
        <f>Comps!K22</f>
        <v>14367.84</v>
      </c>
      <c r="J22" s="172"/>
      <c r="K22" s="172"/>
      <c r="L22" s="173"/>
      <c r="M22" s="174"/>
      <c r="N22" s="175"/>
      <c r="P22" s="117"/>
    </row>
    <row r="23" spans="1:16" ht="16.5" customHeight="1" x14ac:dyDescent="0.3">
      <c r="I23" s="118"/>
      <c r="P23" s="117"/>
    </row>
    <row r="24" spans="1:16" ht="16.5" customHeight="1" x14ac:dyDescent="0.3">
      <c r="I24" s="119"/>
      <c r="P24" s="117"/>
    </row>
    <row r="25" spans="1:16" ht="16.5" customHeight="1" x14ac:dyDescent="0.3">
      <c r="A25" s="144" t="s">
        <v>308</v>
      </c>
      <c r="B25" s="144"/>
      <c r="C25" s="144"/>
      <c r="D25" s="144"/>
      <c r="E25" s="144"/>
      <c r="F25" s="144"/>
      <c r="G25" s="144"/>
      <c r="H25" s="144"/>
      <c r="I25" s="120"/>
    </row>
    <row r="27" spans="1:16" ht="16.5" customHeight="1" x14ac:dyDescent="0.3">
      <c r="C27" s="121" t="s">
        <v>309</v>
      </c>
      <c r="D27" s="122"/>
      <c r="E27" s="122"/>
      <c r="F27" s="122"/>
      <c r="G27" s="122"/>
      <c r="H27" s="123"/>
    </row>
    <row r="28" spans="1:16" ht="16.5" customHeight="1" x14ac:dyDescent="0.3">
      <c r="D28" s="107"/>
      <c r="E28" s="107"/>
      <c r="F28" s="107"/>
      <c r="G28" s="107"/>
      <c r="H28" s="124"/>
    </row>
    <row r="29" spans="1:16" ht="16.5" customHeight="1" x14ac:dyDescent="0.3">
      <c r="D29" s="100" t="s">
        <v>310</v>
      </c>
      <c r="H29" s="125">
        <f>K19</f>
        <v>3.095216450085065E-2</v>
      </c>
    </row>
    <row r="30" spans="1:16" ht="16.5" customHeight="1" x14ac:dyDescent="0.3">
      <c r="D30" s="100" t="s">
        <v>311</v>
      </c>
      <c r="H30" s="126">
        <f>1-H29</f>
        <v>0.9690478354991493</v>
      </c>
      <c r="I30" s="176"/>
    </row>
    <row r="31" spans="1:16" ht="16.5" customHeight="1" x14ac:dyDescent="0.3">
      <c r="C31" s="127" t="s">
        <v>312</v>
      </c>
      <c r="D31" s="122"/>
      <c r="E31" s="122"/>
      <c r="F31" s="122"/>
      <c r="G31" s="122"/>
      <c r="H31" s="122"/>
    </row>
    <row r="32" spans="1:16" ht="16.5" customHeight="1" x14ac:dyDescent="0.3">
      <c r="D32" s="100" t="s">
        <v>260</v>
      </c>
      <c r="H32" s="128">
        <f>H22</f>
        <v>648206.90549999988</v>
      </c>
    </row>
    <row r="33" spans="2:9" ht="16.5" customHeight="1" x14ac:dyDescent="0.3">
      <c r="D33" s="100" t="s">
        <v>313</v>
      </c>
      <c r="H33" s="129">
        <f>I22</f>
        <v>14367.84</v>
      </c>
    </row>
    <row r="34" spans="2:9" ht="16.5" customHeight="1" x14ac:dyDescent="0.3">
      <c r="D34" s="100" t="s">
        <v>314</v>
      </c>
      <c r="H34" s="130">
        <f>H33/H32</f>
        <v>2.2165515174382856E-2</v>
      </c>
    </row>
    <row r="36" spans="2:9" ht="16.5" customHeight="1" x14ac:dyDescent="0.3">
      <c r="C36" s="127" t="s">
        <v>315</v>
      </c>
      <c r="D36" s="122"/>
      <c r="E36" s="122"/>
      <c r="F36" s="122"/>
      <c r="G36" s="122"/>
      <c r="H36" s="122"/>
    </row>
    <row r="37" spans="2:9" ht="16.5" customHeight="1" x14ac:dyDescent="0.3">
      <c r="B37" s="116"/>
      <c r="D37" s="100" t="s">
        <v>316</v>
      </c>
      <c r="H37" s="131">
        <f>Model!M13</f>
        <v>4.4244998937986335E-2</v>
      </c>
    </row>
    <row r="38" spans="2:9" ht="16.5" customHeight="1" x14ac:dyDescent="0.3">
      <c r="B38" s="116"/>
      <c r="D38" s="107" t="s">
        <v>305</v>
      </c>
      <c r="E38" s="107"/>
      <c r="F38" s="107"/>
      <c r="G38" s="107"/>
      <c r="H38" s="132">
        <f>Model!E133</f>
        <v>0.15679999999999999</v>
      </c>
    </row>
    <row r="39" spans="2:9" ht="16.5" customHeight="1" x14ac:dyDescent="0.3">
      <c r="B39" s="116"/>
      <c r="D39" s="133" t="s">
        <v>317</v>
      </c>
      <c r="E39" s="133"/>
      <c r="F39" s="133"/>
      <c r="G39" s="133"/>
      <c r="H39" s="134">
        <f>H37*(1-H38)</f>
        <v>3.7307383104510074E-2</v>
      </c>
    </row>
    <row r="41" spans="2:9" ht="16.5" customHeight="1" x14ac:dyDescent="0.3">
      <c r="C41" s="127" t="s">
        <v>318</v>
      </c>
      <c r="D41" s="122"/>
      <c r="E41" s="122"/>
      <c r="F41" s="122"/>
      <c r="G41" s="122"/>
      <c r="H41" s="122"/>
    </row>
    <row r="42" spans="2:9" ht="16.5" customHeight="1" x14ac:dyDescent="0.3">
      <c r="D42" s="100" t="s">
        <v>319</v>
      </c>
      <c r="H42" s="279">
        <v>7.0650000000000004E-2</v>
      </c>
      <c r="I42" s="100" t="s">
        <v>433</v>
      </c>
    </row>
    <row r="43" spans="2:9" ht="16.5" customHeight="1" x14ac:dyDescent="0.3">
      <c r="D43" s="100" t="s">
        <v>320</v>
      </c>
      <c r="H43" s="131">
        <f>Market_Data!E9</f>
        <v>0.15109567645678879</v>
      </c>
    </row>
    <row r="44" spans="2:9" ht="16.5" customHeight="1" x14ac:dyDescent="0.3">
      <c r="D44" s="100" t="s">
        <v>321</v>
      </c>
      <c r="H44" s="125">
        <f>H43-H42</f>
        <v>8.0445676456788781E-2</v>
      </c>
    </row>
    <row r="45" spans="2:9" ht="16.5" customHeight="1" x14ac:dyDescent="0.3">
      <c r="D45" s="107" t="s">
        <v>322</v>
      </c>
      <c r="E45" s="107"/>
      <c r="F45" s="107"/>
      <c r="G45" s="107"/>
      <c r="H45" s="278">
        <f>N20*(1+H34*(1-H38))</f>
        <v>0.35165204231498909</v>
      </c>
      <c r="I45" s="100" t="s">
        <v>432</v>
      </c>
    </row>
    <row r="46" spans="2:9" ht="16.5" customHeight="1" x14ac:dyDescent="0.3">
      <c r="D46" s="133" t="s">
        <v>318</v>
      </c>
      <c r="E46" s="133"/>
      <c r="F46" s="133"/>
      <c r="G46" s="133"/>
      <c r="H46" s="135">
        <f>H42+(H44*H45)</f>
        <v>9.8938886421440608E-2</v>
      </c>
    </row>
    <row r="48" spans="2:9" ht="16.5" customHeight="1" thickBot="1" x14ac:dyDescent="0.35">
      <c r="D48" s="136" t="s">
        <v>323</v>
      </c>
      <c r="E48" s="136"/>
      <c r="F48" s="136"/>
      <c r="G48" s="136"/>
      <c r="H48" s="137">
        <f>(H39*H29)+(H46*H30)</f>
        <v>9.7031257992340247E-2</v>
      </c>
      <c r="I48" s="100" t="s">
        <v>434</v>
      </c>
    </row>
  </sheetData>
  <pageMargins left="0.7" right="0.7" top="0.75" bottom="0.75" header="0.3" footer="0.3"/>
  <pageSetup scale="48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D007-BB43-4A11-ACD1-E2CF8D61A82E}">
  <dimension ref="A1:Q66"/>
  <sheetViews>
    <sheetView showGridLines="0" tabSelected="1" topLeftCell="C1" zoomScaleNormal="100" workbookViewId="0">
      <selection activeCell="M11" sqref="M11"/>
    </sheetView>
  </sheetViews>
  <sheetFormatPr defaultColWidth="11.6640625" defaultRowHeight="14.4" x14ac:dyDescent="0.3"/>
  <cols>
    <col min="1" max="1" width="10.44140625" style="115" bestFit="1" customWidth="1"/>
    <col min="2" max="2" width="11" style="115" bestFit="1" customWidth="1"/>
    <col min="3" max="3" width="10.21875" style="115" bestFit="1" customWidth="1"/>
    <col min="4" max="4" width="11" style="115" bestFit="1" customWidth="1"/>
    <col min="5" max="5" width="10.21875" style="115" bestFit="1" customWidth="1"/>
    <col min="6" max="6" width="12.6640625" style="115" customWidth="1"/>
    <col min="7" max="7" width="5.6640625" style="115" bestFit="1" customWidth="1"/>
    <col min="8" max="8" width="19.44140625" style="115" bestFit="1" customWidth="1"/>
    <col min="9" max="9" width="11.88671875" style="115" bestFit="1" customWidth="1"/>
    <col min="10" max="10" width="13.6640625" style="115" bestFit="1" customWidth="1"/>
    <col min="11" max="12" width="11.88671875" style="115" bestFit="1" customWidth="1"/>
    <col min="13" max="13" width="12.44140625" style="115" bestFit="1" customWidth="1"/>
    <col min="14" max="14" width="11.88671875" style="115" bestFit="1" customWidth="1"/>
    <col min="15" max="15" width="12.44140625" style="115" bestFit="1" customWidth="1"/>
    <col min="16" max="16" width="12.21875" style="115" bestFit="1" customWidth="1"/>
    <col min="17" max="16384" width="11.6640625" style="115"/>
  </cols>
  <sheetData>
    <row r="1" spans="1:17" ht="32.4" x14ac:dyDescent="0.6">
      <c r="A1" s="163" t="str">
        <f>Index!A1</f>
        <v>Alkem Laboratories Limited</v>
      </c>
      <c r="B1" s="164"/>
      <c r="C1" s="164"/>
      <c r="D1" s="164"/>
      <c r="E1" s="164"/>
      <c r="F1" s="164"/>
      <c r="G1" s="181"/>
      <c r="H1" s="181"/>
      <c r="I1" s="181"/>
      <c r="J1" s="181"/>
      <c r="K1" s="181"/>
      <c r="L1" s="181"/>
      <c r="M1" s="181"/>
    </row>
    <row r="2" spans="1:17" ht="18" x14ac:dyDescent="0.3">
      <c r="A2" s="140" t="s">
        <v>362</v>
      </c>
      <c r="B2" s="140"/>
      <c r="C2" s="140"/>
      <c r="D2" s="140"/>
      <c r="E2" s="140"/>
      <c r="F2" s="140"/>
      <c r="G2" s="181"/>
      <c r="H2" s="181"/>
      <c r="I2" s="181"/>
      <c r="J2" s="181"/>
      <c r="K2" s="181"/>
      <c r="L2" s="181"/>
      <c r="M2" s="181"/>
    </row>
    <row r="4" spans="1:17" x14ac:dyDescent="0.3">
      <c r="A4" s="165"/>
      <c r="B4" s="165" t="s">
        <v>324</v>
      </c>
      <c r="C4" s="165" t="s">
        <v>335</v>
      </c>
      <c r="D4" s="165" t="s">
        <v>336</v>
      </c>
      <c r="E4" s="165" t="s">
        <v>335</v>
      </c>
      <c r="G4"/>
      <c r="H4"/>
      <c r="I4"/>
      <c r="J4"/>
      <c r="K4"/>
      <c r="L4"/>
      <c r="M4"/>
      <c r="N4"/>
      <c r="O4"/>
      <c r="P4"/>
      <c r="Q4"/>
    </row>
    <row r="5" spans="1:17" x14ac:dyDescent="0.3">
      <c r="A5" s="165" t="s">
        <v>325</v>
      </c>
      <c r="B5" s="165" t="s">
        <v>326</v>
      </c>
      <c r="C5" s="165" t="s">
        <v>337</v>
      </c>
      <c r="D5" s="165" t="s">
        <v>326</v>
      </c>
      <c r="E5" s="165" t="s">
        <v>337</v>
      </c>
      <c r="G5"/>
      <c r="H5"/>
      <c r="I5"/>
      <c r="J5"/>
      <c r="K5"/>
      <c r="L5"/>
      <c r="M5"/>
      <c r="N5"/>
      <c r="O5"/>
      <c r="P5"/>
      <c r="Q5"/>
    </row>
    <row r="6" spans="1:17" x14ac:dyDescent="0.3">
      <c r="A6" s="157">
        <v>43497</v>
      </c>
      <c r="B6" s="158">
        <v>35867.440000000002</v>
      </c>
      <c r="D6" s="158">
        <v>1746.6</v>
      </c>
      <c r="G6" s="3" t="s">
        <v>405</v>
      </c>
      <c r="H6" s="213">
        <f>MIN(D54:D66)</f>
        <v>3175.5</v>
      </c>
      <c r="I6"/>
      <c r="J6"/>
      <c r="K6"/>
      <c r="L6"/>
      <c r="M6"/>
      <c r="N6"/>
      <c r="O6"/>
      <c r="P6"/>
      <c r="Q6"/>
    </row>
    <row r="7" spans="1:17" x14ac:dyDescent="0.3">
      <c r="A7" s="157">
        <v>43525</v>
      </c>
      <c r="B7" s="158">
        <v>38672.910000000003</v>
      </c>
      <c r="C7" s="159">
        <f>B7/B6-1</f>
        <v>7.8217737312727076E-2</v>
      </c>
      <c r="D7" s="158">
        <v>1751.8</v>
      </c>
      <c r="E7" s="159">
        <f>D7/D6-1</f>
        <v>2.9772128707203915E-3</v>
      </c>
      <c r="G7" s="3" t="s">
        <v>406</v>
      </c>
      <c r="H7" s="213">
        <f>MAX(D54:D66)</f>
        <v>5192.6000000000004</v>
      </c>
      <c r="I7"/>
      <c r="J7"/>
      <c r="K7"/>
      <c r="L7"/>
      <c r="M7"/>
      <c r="N7"/>
      <c r="O7"/>
      <c r="P7"/>
      <c r="Q7"/>
    </row>
    <row r="8" spans="1:17" x14ac:dyDescent="0.3">
      <c r="A8" s="157">
        <v>43556</v>
      </c>
      <c r="B8" s="158">
        <v>39031.550000000003</v>
      </c>
      <c r="C8" s="159">
        <f t="shared" ref="C8:E66" si="0">B8/B7-1</f>
        <v>9.2736750350568276E-3</v>
      </c>
      <c r="D8" s="158">
        <v>1719.95</v>
      </c>
      <c r="E8" s="159">
        <f t="shared" si="0"/>
        <v>-1.818129923507239E-2</v>
      </c>
      <c r="G8"/>
      <c r="H8"/>
      <c r="I8"/>
      <c r="J8"/>
      <c r="K8"/>
      <c r="L8"/>
      <c r="M8"/>
      <c r="N8"/>
      <c r="O8"/>
      <c r="P8"/>
      <c r="Q8"/>
    </row>
    <row r="9" spans="1:17" x14ac:dyDescent="0.3">
      <c r="A9" s="157">
        <v>43586</v>
      </c>
      <c r="B9" s="158">
        <v>39714.199999999997</v>
      </c>
      <c r="C9" s="159">
        <f t="shared" si="0"/>
        <v>1.7489697437073293E-2</v>
      </c>
      <c r="D9" s="158">
        <v>1790.05</v>
      </c>
      <c r="E9" s="159">
        <f t="shared" si="0"/>
        <v>4.0756998749963635E-2</v>
      </c>
      <c r="G9"/>
      <c r="H9"/>
      <c r="I9"/>
      <c r="J9"/>
      <c r="K9"/>
      <c r="L9"/>
      <c r="M9"/>
      <c r="N9"/>
      <c r="O9"/>
      <c r="P9"/>
      <c r="Q9"/>
    </row>
    <row r="10" spans="1:17" ht="15.6" x14ac:dyDescent="0.3">
      <c r="A10" s="157">
        <v>43617</v>
      </c>
      <c r="B10" s="158">
        <v>39394.639999999999</v>
      </c>
      <c r="C10" s="159">
        <f t="shared" si="0"/>
        <v>-8.0464921866737482E-3</v>
      </c>
      <c r="D10" s="158">
        <v>1668.65</v>
      </c>
      <c r="E10" s="159">
        <f t="shared" si="0"/>
        <v>-6.7819334655456531E-2</v>
      </c>
      <c r="G10" s="60" t="s">
        <v>306</v>
      </c>
      <c r="H10" s="186">
        <f>SLOPE(E7:E66,C7:C66)</f>
        <v>0.57707094787982971</v>
      </c>
      <c r="I10"/>
      <c r="J10"/>
      <c r="K10"/>
      <c r="L10"/>
      <c r="M10" s="300">
        <f>SUM(H10:L10)</f>
        <v>0.57707094787982971</v>
      </c>
      <c r="N10"/>
      <c r="O10"/>
      <c r="P10"/>
      <c r="Q10"/>
    </row>
    <row r="11" spans="1:17" x14ac:dyDescent="0.3">
      <c r="A11" s="157">
        <v>43647</v>
      </c>
      <c r="B11" s="158">
        <v>37481.120000000003</v>
      </c>
      <c r="C11" s="159">
        <f t="shared" si="0"/>
        <v>-4.8573105376771952E-2</v>
      </c>
      <c r="D11" s="158">
        <v>1736.85</v>
      </c>
      <c r="E11" s="159">
        <f t="shared" si="0"/>
        <v>4.0871363077937151E-2</v>
      </c>
      <c r="G11"/>
      <c r="H11"/>
      <c r="I11"/>
      <c r="J11"/>
      <c r="K11"/>
      <c r="L11"/>
      <c r="M11"/>
      <c r="N11"/>
      <c r="O11"/>
      <c r="P11"/>
      <c r="Q11"/>
    </row>
    <row r="12" spans="1:17" x14ac:dyDescent="0.3">
      <c r="A12" s="157">
        <v>43678</v>
      </c>
      <c r="B12" s="158">
        <v>37332.79</v>
      </c>
      <c r="C12" s="159">
        <f t="shared" si="0"/>
        <v>-3.9574591154160066E-3</v>
      </c>
      <c r="D12" s="158">
        <v>1816.85</v>
      </c>
      <c r="E12" s="159">
        <f t="shared" si="0"/>
        <v>4.6060396695166483E-2</v>
      </c>
      <c r="G12"/>
      <c r="H12"/>
      <c r="I12"/>
      <c r="J12"/>
      <c r="K12"/>
      <c r="L12"/>
      <c r="M12"/>
      <c r="N12"/>
      <c r="O12"/>
      <c r="P12"/>
      <c r="Q12"/>
    </row>
    <row r="13" spans="1:17" x14ac:dyDescent="0.3">
      <c r="A13" s="157">
        <v>43709</v>
      </c>
      <c r="B13" s="158">
        <v>38667.33</v>
      </c>
      <c r="C13" s="159">
        <f t="shared" si="0"/>
        <v>3.5747127391229094E-2</v>
      </c>
      <c r="D13" s="158">
        <v>1903.85</v>
      </c>
      <c r="E13" s="159">
        <f t="shared" si="0"/>
        <v>4.7885075818036693E-2</v>
      </c>
      <c r="G13"/>
      <c r="H13" t="s">
        <v>338</v>
      </c>
      <c r="I13"/>
      <c r="J13"/>
      <c r="K13"/>
      <c r="L13"/>
      <c r="M13"/>
      <c r="N13"/>
      <c r="O13"/>
      <c r="P13"/>
      <c r="Q13"/>
    </row>
    <row r="14" spans="1:17" ht="15" thickBot="1" x14ac:dyDescent="0.35">
      <c r="A14" s="157">
        <v>43739</v>
      </c>
      <c r="B14" s="158">
        <v>40129.050000000003</v>
      </c>
      <c r="C14" s="159">
        <f t="shared" si="0"/>
        <v>3.7802454940643715E-2</v>
      </c>
      <c r="D14" s="158">
        <v>1989.85</v>
      </c>
      <c r="E14" s="159">
        <f t="shared" si="0"/>
        <v>4.5171625915907176E-2</v>
      </c>
      <c r="G14"/>
      <c r="H14"/>
      <c r="I14"/>
      <c r="J14"/>
      <c r="K14"/>
      <c r="L14"/>
      <c r="M14"/>
      <c r="N14"/>
      <c r="O14"/>
      <c r="P14"/>
      <c r="Q14"/>
    </row>
    <row r="15" spans="1:17" x14ac:dyDescent="0.3">
      <c r="A15" s="157">
        <v>43770</v>
      </c>
      <c r="B15" s="158">
        <v>40793.81</v>
      </c>
      <c r="C15" s="159">
        <f t="shared" si="0"/>
        <v>1.6565555376965024E-2</v>
      </c>
      <c r="D15" s="158">
        <v>2025.2</v>
      </c>
      <c r="E15" s="159">
        <f t="shared" si="0"/>
        <v>1.776515817775226E-2</v>
      </c>
      <c r="G15"/>
      <c r="H15" s="184" t="s">
        <v>339</v>
      </c>
      <c r="I15" s="184"/>
      <c r="J15"/>
      <c r="K15"/>
      <c r="L15"/>
      <c r="M15"/>
      <c r="N15"/>
      <c r="O15"/>
      <c r="P15"/>
      <c r="Q15"/>
    </row>
    <row r="16" spans="1:17" x14ac:dyDescent="0.3">
      <c r="A16" s="157">
        <v>43800</v>
      </c>
      <c r="B16" s="158">
        <v>41253.74</v>
      </c>
      <c r="C16" s="159">
        <f t="shared" si="0"/>
        <v>1.127450463685542E-2</v>
      </c>
      <c r="D16" s="158">
        <v>2013.55</v>
      </c>
      <c r="E16" s="159">
        <f t="shared" si="0"/>
        <v>-5.7525182698006105E-3</v>
      </c>
      <c r="G16"/>
      <c r="H16" t="s">
        <v>340</v>
      </c>
      <c r="I16">
        <v>0.41131067630686785</v>
      </c>
      <c r="J16"/>
      <c r="K16"/>
      <c r="L16"/>
      <c r="M16"/>
      <c r="N16"/>
      <c r="O16"/>
      <c r="P16"/>
      <c r="Q16"/>
    </row>
    <row r="17" spans="1:17" x14ac:dyDescent="0.3">
      <c r="A17" s="157">
        <v>43831</v>
      </c>
      <c r="B17" s="158">
        <v>40723.49</v>
      </c>
      <c r="C17" s="159">
        <f t="shared" si="0"/>
        <v>-1.285338008141812E-2</v>
      </c>
      <c r="D17" s="158">
        <v>2394.3000000000002</v>
      </c>
      <c r="E17" s="159">
        <f t="shared" si="0"/>
        <v>0.18909388890268453</v>
      </c>
      <c r="G17"/>
      <c r="H17" t="s">
        <v>341</v>
      </c>
      <c r="I17">
        <v>0.16917647244401302</v>
      </c>
      <c r="J17"/>
      <c r="K17"/>
      <c r="L17"/>
      <c r="M17"/>
      <c r="N17"/>
      <c r="O17"/>
      <c r="P17"/>
      <c r="Q17"/>
    </row>
    <row r="18" spans="1:17" x14ac:dyDescent="0.3">
      <c r="A18" s="157">
        <v>43862</v>
      </c>
      <c r="B18" s="158">
        <v>38297.29</v>
      </c>
      <c r="C18" s="159">
        <f t="shared" si="0"/>
        <v>-5.957740851778659E-2</v>
      </c>
      <c r="D18" s="158">
        <v>2627.9</v>
      </c>
      <c r="E18" s="159">
        <f t="shared" si="0"/>
        <v>9.7565050327862002E-2</v>
      </c>
      <c r="G18"/>
      <c r="H18" t="s">
        <v>342</v>
      </c>
      <c r="I18">
        <v>0.15485192886546151</v>
      </c>
      <c r="J18"/>
      <c r="K18"/>
      <c r="L18"/>
      <c r="M18"/>
      <c r="N18"/>
      <c r="O18"/>
      <c r="P18"/>
      <c r="Q18"/>
    </row>
    <row r="19" spans="1:17" x14ac:dyDescent="0.3">
      <c r="A19" s="157">
        <v>43891</v>
      </c>
      <c r="B19" s="158">
        <v>29468.49</v>
      </c>
      <c r="C19" s="159">
        <f t="shared" si="0"/>
        <v>-0.23053328316442234</v>
      </c>
      <c r="D19" s="158">
        <v>2328.85</v>
      </c>
      <c r="E19" s="159">
        <f t="shared" si="0"/>
        <v>-0.11379808972944183</v>
      </c>
      <c r="G19"/>
      <c r="H19" t="s">
        <v>343</v>
      </c>
      <c r="I19">
        <v>6.9712000993269199E-2</v>
      </c>
      <c r="J19"/>
      <c r="K19"/>
      <c r="L19"/>
      <c r="M19"/>
      <c r="N19"/>
      <c r="O19"/>
      <c r="P19"/>
      <c r="Q19"/>
    </row>
    <row r="20" spans="1:17" ht="15" thickBot="1" x14ac:dyDescent="0.35">
      <c r="A20" s="157">
        <v>43922</v>
      </c>
      <c r="B20" s="158">
        <v>33717.620000000003</v>
      </c>
      <c r="C20" s="159">
        <f t="shared" si="0"/>
        <v>0.14419232203618182</v>
      </c>
      <c r="D20" s="158">
        <v>2608.4499999999998</v>
      </c>
      <c r="E20" s="159">
        <f t="shared" si="0"/>
        <v>0.12005925671468742</v>
      </c>
      <c r="G20"/>
      <c r="H20" s="182" t="s">
        <v>344</v>
      </c>
      <c r="I20" s="182">
        <v>60</v>
      </c>
      <c r="J20"/>
      <c r="K20"/>
      <c r="L20"/>
      <c r="M20"/>
      <c r="N20"/>
      <c r="O20"/>
      <c r="P20"/>
      <c r="Q20"/>
    </row>
    <row r="21" spans="1:17" x14ac:dyDescent="0.3">
      <c r="A21" s="157">
        <v>43952</v>
      </c>
      <c r="B21" s="179">
        <v>32424.1</v>
      </c>
      <c r="C21" s="159">
        <f t="shared" si="0"/>
        <v>-3.8363324576289881E-2</v>
      </c>
      <c r="D21" s="158">
        <v>2261.1999999999998</v>
      </c>
      <c r="E21" s="159">
        <f t="shared" si="0"/>
        <v>-0.13312503594088443</v>
      </c>
      <c r="G21"/>
      <c r="H21"/>
      <c r="I21"/>
      <c r="J21"/>
      <c r="K21"/>
      <c r="L21"/>
      <c r="M21"/>
      <c r="N21"/>
      <c r="O21"/>
      <c r="P21"/>
      <c r="Q21"/>
    </row>
    <row r="22" spans="1:17" ht="15" thickBot="1" x14ac:dyDescent="0.35">
      <c r="A22" s="157">
        <v>43983</v>
      </c>
      <c r="B22" s="158">
        <v>34915.800000000003</v>
      </c>
      <c r="C22" s="159">
        <f t="shared" si="0"/>
        <v>7.6847159982852409E-2</v>
      </c>
      <c r="D22" s="158">
        <v>2366.1</v>
      </c>
      <c r="E22" s="159">
        <f t="shared" si="0"/>
        <v>4.6391296656642433E-2</v>
      </c>
      <c r="G22"/>
      <c r="H22" t="s">
        <v>345</v>
      </c>
      <c r="I22"/>
      <c r="J22"/>
      <c r="K22"/>
      <c r="L22"/>
      <c r="M22"/>
      <c r="N22"/>
      <c r="O22"/>
      <c r="P22"/>
      <c r="Q22"/>
    </row>
    <row r="23" spans="1:17" x14ac:dyDescent="0.3">
      <c r="A23" s="157">
        <v>44013</v>
      </c>
      <c r="B23" s="158">
        <v>37606.89</v>
      </c>
      <c r="C23" s="159">
        <f t="shared" si="0"/>
        <v>7.7073703022700224E-2</v>
      </c>
      <c r="D23" s="158">
        <v>2662.4</v>
      </c>
      <c r="E23" s="159">
        <f t="shared" si="0"/>
        <v>0.12522716706817127</v>
      </c>
      <c r="G23"/>
      <c r="H23" s="183"/>
      <c r="I23" s="183" t="s">
        <v>346</v>
      </c>
      <c r="J23" s="183" t="s">
        <v>347</v>
      </c>
      <c r="K23" s="183" t="s">
        <v>348</v>
      </c>
      <c r="L23" s="183" t="s">
        <v>349</v>
      </c>
      <c r="M23" s="183" t="s">
        <v>350</v>
      </c>
      <c r="N23"/>
      <c r="O23"/>
      <c r="P23"/>
      <c r="Q23"/>
    </row>
    <row r="24" spans="1:17" x14ac:dyDescent="0.3">
      <c r="A24" s="157">
        <v>44044</v>
      </c>
      <c r="B24" s="158">
        <v>38628.29</v>
      </c>
      <c r="C24" s="159">
        <f t="shared" si="0"/>
        <v>2.7159916706752441E-2</v>
      </c>
      <c r="D24" s="158">
        <v>2720.8</v>
      </c>
      <c r="E24" s="159">
        <f t="shared" si="0"/>
        <v>2.1935096153846256E-2</v>
      </c>
      <c r="G24"/>
      <c r="H24" t="s">
        <v>351</v>
      </c>
      <c r="I24">
        <v>1</v>
      </c>
      <c r="J24">
        <v>5.7395027680992805E-2</v>
      </c>
      <c r="K24">
        <v>5.7395027680992805E-2</v>
      </c>
      <c r="L24">
        <v>11.810252209175113</v>
      </c>
      <c r="M24">
        <v>1.0955077412164815E-3</v>
      </c>
      <c r="N24"/>
      <c r="O24"/>
      <c r="P24"/>
      <c r="Q24"/>
    </row>
    <row r="25" spans="1:17" x14ac:dyDescent="0.3">
      <c r="A25" s="157">
        <v>44075</v>
      </c>
      <c r="B25" s="158">
        <v>38067.93</v>
      </c>
      <c r="C25" s="159">
        <f t="shared" si="0"/>
        <v>-1.4506466633651183E-2</v>
      </c>
      <c r="D25" s="158">
        <v>2779.05</v>
      </c>
      <c r="E25" s="159">
        <f t="shared" si="0"/>
        <v>2.140914436930319E-2</v>
      </c>
      <c r="G25"/>
      <c r="H25" t="s">
        <v>352</v>
      </c>
      <c r="I25">
        <v>58</v>
      </c>
      <c r="J25">
        <v>0.28186625878416283</v>
      </c>
      <c r="K25">
        <v>4.8597630824855657E-3</v>
      </c>
      <c r="L25"/>
      <c r="M25"/>
      <c r="N25"/>
      <c r="O25"/>
      <c r="P25"/>
      <c r="Q25"/>
    </row>
    <row r="26" spans="1:17" ht="15" thickBot="1" x14ac:dyDescent="0.35">
      <c r="A26" s="157">
        <v>44105</v>
      </c>
      <c r="B26" s="158">
        <v>39614.07</v>
      </c>
      <c r="C26" s="159">
        <f t="shared" si="0"/>
        <v>4.061528956263194E-2</v>
      </c>
      <c r="D26" s="158">
        <v>2634.25</v>
      </c>
      <c r="E26" s="159">
        <f t="shared" si="0"/>
        <v>-5.2104136305572091E-2</v>
      </c>
      <c r="G26"/>
      <c r="H26" s="182" t="s">
        <v>219</v>
      </c>
      <c r="I26" s="182">
        <v>59</v>
      </c>
      <c r="J26" s="182">
        <v>0.33926128646515563</v>
      </c>
      <c r="K26" s="182"/>
      <c r="L26" s="182"/>
      <c r="M26" s="182"/>
      <c r="N26"/>
      <c r="O26"/>
      <c r="P26"/>
      <c r="Q26"/>
    </row>
    <row r="27" spans="1:17" ht="15" thickBot="1" x14ac:dyDescent="0.35">
      <c r="A27" s="157">
        <v>44136</v>
      </c>
      <c r="B27" s="158">
        <v>44149.72</v>
      </c>
      <c r="C27" s="159">
        <f t="shared" si="0"/>
        <v>0.11449593540880798</v>
      </c>
      <c r="D27" s="158">
        <v>2840.65</v>
      </c>
      <c r="E27" s="159">
        <f t="shared" si="0"/>
        <v>7.8352472240675652E-2</v>
      </c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 s="157">
        <v>44166</v>
      </c>
      <c r="B28" s="158">
        <v>47751.33</v>
      </c>
      <c r="C28" s="159">
        <f t="shared" si="0"/>
        <v>8.15771878054945E-2</v>
      </c>
      <c r="D28" s="158">
        <v>2908.7</v>
      </c>
      <c r="E28" s="159">
        <f t="shared" si="0"/>
        <v>2.3955784767570654E-2</v>
      </c>
      <c r="G28"/>
      <c r="H28" s="183"/>
      <c r="I28" s="183" t="s">
        <v>353</v>
      </c>
      <c r="J28" s="183" t="s">
        <v>343</v>
      </c>
      <c r="K28" s="183" t="s">
        <v>354</v>
      </c>
      <c r="L28" s="183" t="s">
        <v>355</v>
      </c>
      <c r="M28" s="183" t="s">
        <v>356</v>
      </c>
      <c r="N28" s="183" t="s">
        <v>357</v>
      </c>
      <c r="O28" s="183" t="s">
        <v>358</v>
      </c>
      <c r="P28" s="183" t="s">
        <v>359</v>
      </c>
      <c r="Q28"/>
    </row>
    <row r="29" spans="1:17" x14ac:dyDescent="0.3">
      <c r="A29" s="157">
        <v>44197</v>
      </c>
      <c r="B29" s="158">
        <v>46285.77</v>
      </c>
      <c r="C29" s="159">
        <f t="shared" si="0"/>
        <v>-3.0691501158187751E-2</v>
      </c>
      <c r="D29" s="158">
        <v>3003.75</v>
      </c>
      <c r="E29" s="159">
        <f t="shared" si="0"/>
        <v>3.2677828583215884E-2</v>
      </c>
      <c r="G29"/>
      <c r="H29" t="s">
        <v>360</v>
      </c>
      <c r="I29">
        <v>1.2910250765971625E-2</v>
      </c>
      <c r="J29">
        <v>9.275099506258851E-3</v>
      </c>
      <c r="K29">
        <v>1.3919258502035228</v>
      </c>
      <c r="L29">
        <v>0.16925969644860459</v>
      </c>
      <c r="M29">
        <v>-5.6558780828935562E-3</v>
      </c>
      <c r="N29">
        <v>3.1476379614836805E-2</v>
      </c>
      <c r="O29">
        <v>-5.6558780828935562E-3</v>
      </c>
      <c r="P29">
        <v>3.1476379614836805E-2</v>
      </c>
      <c r="Q29"/>
    </row>
    <row r="30" spans="1:17" ht="15" thickBot="1" x14ac:dyDescent="0.35">
      <c r="A30" s="157">
        <v>44228</v>
      </c>
      <c r="B30" s="158">
        <v>49099.99</v>
      </c>
      <c r="C30" s="159">
        <f t="shared" si="0"/>
        <v>6.0800976196355938E-2</v>
      </c>
      <c r="D30" s="158">
        <v>2718.6</v>
      </c>
      <c r="E30" s="159">
        <f t="shared" si="0"/>
        <v>-9.4931335830212293E-2</v>
      </c>
      <c r="G30"/>
      <c r="H30" s="182" t="s">
        <v>361</v>
      </c>
      <c r="I30" s="185">
        <v>0.57707094787982971</v>
      </c>
      <c r="J30" s="182">
        <v>0.16791891701957964</v>
      </c>
      <c r="K30" s="182">
        <v>3.4366047502113308</v>
      </c>
      <c r="L30" s="182">
        <v>1.0955077412164987E-3</v>
      </c>
      <c r="M30" s="182">
        <v>0.24094471576300425</v>
      </c>
      <c r="N30" s="182">
        <v>0.91319717999665517</v>
      </c>
      <c r="O30" s="182">
        <v>0.24094471576300425</v>
      </c>
      <c r="P30" s="182">
        <v>0.91319717999665517</v>
      </c>
      <c r="Q30"/>
    </row>
    <row r="31" spans="1:17" x14ac:dyDescent="0.3">
      <c r="A31" s="157">
        <v>44256</v>
      </c>
      <c r="B31" s="158">
        <v>49509.15</v>
      </c>
      <c r="C31" s="159">
        <f t="shared" si="0"/>
        <v>8.3331992531974208E-3</v>
      </c>
      <c r="D31" s="158">
        <v>2772.2</v>
      </c>
      <c r="E31" s="159">
        <f t="shared" si="0"/>
        <v>1.9716030309718136E-2</v>
      </c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 s="157">
        <v>44287</v>
      </c>
      <c r="B32" s="158">
        <v>48782.36</v>
      </c>
      <c r="C32" s="159">
        <f t="shared" si="0"/>
        <v>-1.4679912703005393E-2</v>
      </c>
      <c r="D32" s="158">
        <v>2757.25</v>
      </c>
      <c r="E32" s="159">
        <f t="shared" si="0"/>
        <v>-5.3928288002308422E-3</v>
      </c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 s="157">
        <v>44317</v>
      </c>
      <c r="B33" s="158">
        <v>51937.440000000002</v>
      </c>
      <c r="C33" s="159">
        <f t="shared" si="0"/>
        <v>6.4676657709877183E-2</v>
      </c>
      <c r="D33" s="158">
        <v>2984.9</v>
      </c>
      <c r="E33" s="159">
        <f t="shared" si="0"/>
        <v>8.2564149061564951E-2</v>
      </c>
      <c r="H33"/>
      <c r="I33"/>
      <c r="J33"/>
      <c r="K33"/>
      <c r="L33"/>
      <c r="M33"/>
      <c r="N33"/>
      <c r="O33"/>
      <c r="P33"/>
    </row>
    <row r="34" spans="1:17" x14ac:dyDescent="0.3">
      <c r="A34" s="157">
        <v>44348</v>
      </c>
      <c r="B34" s="158">
        <v>52482.71</v>
      </c>
      <c r="C34" s="159">
        <f t="shared" si="0"/>
        <v>1.0498592152404784E-2</v>
      </c>
      <c r="D34" s="158">
        <v>3196.7</v>
      </c>
      <c r="E34" s="159">
        <f t="shared" si="0"/>
        <v>7.0957150993333107E-2</v>
      </c>
    </row>
    <row r="35" spans="1:17" x14ac:dyDescent="0.3">
      <c r="A35" s="157">
        <v>44378</v>
      </c>
      <c r="B35" s="158">
        <v>52586.84</v>
      </c>
      <c r="C35" s="159">
        <f t="shared" si="0"/>
        <v>1.9840819957657185E-3</v>
      </c>
      <c r="D35" s="158">
        <v>3454.55</v>
      </c>
      <c r="E35" s="159">
        <f t="shared" si="0"/>
        <v>8.0661306972815927E-2</v>
      </c>
    </row>
    <row r="36" spans="1:17" x14ac:dyDescent="0.3">
      <c r="A36" s="157">
        <v>44409</v>
      </c>
      <c r="B36" s="158">
        <v>57552.39</v>
      </c>
      <c r="C36" s="159">
        <f t="shared" si="0"/>
        <v>9.4425715635318763E-2</v>
      </c>
      <c r="D36" s="158">
        <v>3878.6</v>
      </c>
      <c r="E36" s="159">
        <f t="shared" si="0"/>
        <v>0.12275115427479699</v>
      </c>
    </row>
    <row r="37" spans="1:17" x14ac:dyDescent="0.3">
      <c r="A37" s="157">
        <v>44440</v>
      </c>
      <c r="B37" s="158">
        <v>59126.36</v>
      </c>
      <c r="C37" s="159">
        <f t="shared" si="0"/>
        <v>2.7348473277999386E-2</v>
      </c>
      <c r="D37" s="158">
        <v>3980.05</v>
      </c>
      <c r="E37" s="159">
        <f t="shared" si="0"/>
        <v>2.6156345072964493E-2</v>
      </c>
      <c r="Q37" s="180"/>
    </row>
    <row r="38" spans="1:17" x14ac:dyDescent="0.3">
      <c r="A38" s="157">
        <v>44470</v>
      </c>
      <c r="B38" s="158">
        <v>59306.93</v>
      </c>
      <c r="C38" s="159">
        <f t="shared" si="0"/>
        <v>3.0539678072520893E-3</v>
      </c>
      <c r="D38" s="158">
        <v>3608.45</v>
      </c>
      <c r="E38" s="159">
        <f t="shared" si="0"/>
        <v>-9.3365661235411679E-2</v>
      </c>
      <c r="Q38" s="180"/>
    </row>
    <row r="39" spans="1:17" x14ac:dyDescent="0.3">
      <c r="A39" s="157">
        <v>44501</v>
      </c>
      <c r="B39" s="158">
        <v>57064.87</v>
      </c>
      <c r="C39" s="159">
        <f t="shared" si="0"/>
        <v>-3.7804351026094252E-2</v>
      </c>
      <c r="D39" s="158">
        <v>3591.3</v>
      </c>
      <c r="E39" s="159">
        <f t="shared" si="0"/>
        <v>-4.7527331679806384E-3</v>
      </c>
      <c r="Q39" s="180"/>
    </row>
    <row r="40" spans="1:17" x14ac:dyDescent="0.3">
      <c r="A40" s="157">
        <v>44531</v>
      </c>
      <c r="B40" s="158">
        <v>58253.82</v>
      </c>
      <c r="C40" s="159">
        <f t="shared" si="0"/>
        <v>2.0835060169242414E-2</v>
      </c>
      <c r="D40" s="158">
        <v>3622.95</v>
      </c>
      <c r="E40" s="159">
        <f t="shared" si="0"/>
        <v>8.8129646646060156E-3</v>
      </c>
    </row>
    <row r="41" spans="1:17" x14ac:dyDescent="0.3">
      <c r="A41" s="157">
        <v>44562</v>
      </c>
      <c r="B41" s="158">
        <v>58014.17</v>
      </c>
      <c r="C41" s="159">
        <f t="shared" si="0"/>
        <v>-4.113893303477778E-3</v>
      </c>
      <c r="D41" s="158">
        <v>3541.6</v>
      </c>
      <c r="E41" s="159">
        <f t="shared" si="0"/>
        <v>-2.2454077478298085E-2</v>
      </c>
    </row>
    <row r="42" spans="1:17" x14ac:dyDescent="0.3">
      <c r="A42" s="157">
        <v>44593</v>
      </c>
      <c r="B42" s="158">
        <v>56247.28</v>
      </c>
      <c r="C42" s="159">
        <f t="shared" si="0"/>
        <v>-3.0456179929834404E-2</v>
      </c>
      <c r="D42" s="158">
        <v>3278.35</v>
      </c>
      <c r="E42" s="159">
        <f t="shared" si="0"/>
        <v>-7.4330810932911717E-2</v>
      </c>
    </row>
    <row r="43" spans="1:17" x14ac:dyDescent="0.3">
      <c r="A43" s="157">
        <v>44621</v>
      </c>
      <c r="B43" s="158">
        <v>58568.51</v>
      </c>
      <c r="C43" s="159">
        <f t="shared" si="0"/>
        <v>4.1268306663006626E-2</v>
      </c>
      <c r="D43" s="158">
        <v>3617.1</v>
      </c>
      <c r="E43" s="159">
        <f t="shared" si="0"/>
        <v>0.10332941876248714</v>
      </c>
    </row>
    <row r="44" spans="1:17" x14ac:dyDescent="0.3">
      <c r="A44" s="157">
        <v>44652</v>
      </c>
      <c r="B44" s="158">
        <v>57060.87</v>
      </c>
      <c r="C44" s="159">
        <f t="shared" si="0"/>
        <v>-2.5741477800954815E-2</v>
      </c>
      <c r="D44" s="158">
        <v>3253.05</v>
      </c>
      <c r="E44" s="159">
        <f t="shared" si="0"/>
        <v>-0.10064692709629253</v>
      </c>
    </row>
    <row r="45" spans="1:17" x14ac:dyDescent="0.3">
      <c r="A45" s="157">
        <v>44682</v>
      </c>
      <c r="B45" s="158">
        <v>55566.41</v>
      </c>
      <c r="C45" s="159">
        <f t="shared" si="0"/>
        <v>-2.6190627657797672E-2</v>
      </c>
      <c r="D45" s="158">
        <v>3152.15</v>
      </c>
      <c r="E45" s="159">
        <f t="shared" si="0"/>
        <v>-3.101704554187612E-2</v>
      </c>
    </row>
    <row r="46" spans="1:17" x14ac:dyDescent="0.3">
      <c r="A46" s="157">
        <v>44713</v>
      </c>
      <c r="B46" s="158">
        <v>53018.94</v>
      </c>
      <c r="C46" s="159">
        <f t="shared" si="0"/>
        <v>-4.5845502705681329E-2</v>
      </c>
      <c r="D46" s="158">
        <v>3001.05</v>
      </c>
      <c r="E46" s="159">
        <f t="shared" si="0"/>
        <v>-4.7935536062687301E-2</v>
      </c>
    </row>
    <row r="47" spans="1:17" x14ac:dyDescent="0.3">
      <c r="A47" s="157">
        <v>44743</v>
      </c>
      <c r="B47" s="158">
        <v>57570.25</v>
      </c>
      <c r="C47" s="159">
        <f t="shared" si="0"/>
        <v>8.5843096825398479E-2</v>
      </c>
      <c r="D47" s="158">
        <v>3221.55</v>
      </c>
      <c r="E47" s="159">
        <f t="shared" si="0"/>
        <v>7.3474284000599743E-2</v>
      </c>
    </row>
    <row r="48" spans="1:17" x14ac:dyDescent="0.3">
      <c r="A48" s="157">
        <v>44774</v>
      </c>
      <c r="B48" s="158">
        <v>59537.07</v>
      </c>
      <c r="C48" s="159">
        <f t="shared" si="0"/>
        <v>3.4163825934401926E-2</v>
      </c>
      <c r="D48" s="158">
        <v>2975.5</v>
      </c>
      <c r="E48" s="159">
        <f t="shared" si="0"/>
        <v>-7.6376278499480144E-2</v>
      </c>
    </row>
    <row r="49" spans="1:5" x14ac:dyDescent="0.3">
      <c r="A49" s="157">
        <v>44805</v>
      </c>
      <c r="B49" s="158">
        <v>57426.92</v>
      </c>
      <c r="C49" s="159">
        <f t="shared" si="0"/>
        <v>-3.5442624233943731E-2</v>
      </c>
      <c r="D49" s="158">
        <v>3279.75</v>
      </c>
      <c r="E49" s="159">
        <f t="shared" si="0"/>
        <v>0.10225172239959668</v>
      </c>
    </row>
    <row r="50" spans="1:5" x14ac:dyDescent="0.3">
      <c r="A50" s="157">
        <v>44835</v>
      </c>
      <c r="B50" s="158">
        <v>60746.59</v>
      </c>
      <c r="C50" s="159">
        <f t="shared" si="0"/>
        <v>5.7806861311733293E-2</v>
      </c>
      <c r="D50" s="158">
        <v>3155.05</v>
      </c>
      <c r="E50" s="159">
        <f t="shared" si="0"/>
        <v>-3.8021190639530356E-2</v>
      </c>
    </row>
    <row r="51" spans="1:5" x14ac:dyDescent="0.3">
      <c r="A51" s="157">
        <v>44866</v>
      </c>
      <c r="B51" s="158">
        <v>63099.65</v>
      </c>
      <c r="C51" s="159">
        <f t="shared" si="0"/>
        <v>3.8735672241026364E-2</v>
      </c>
      <c r="D51" s="158">
        <v>3126.35</v>
      </c>
      <c r="E51" s="159">
        <f t="shared" si="0"/>
        <v>-9.0965277887831153E-3</v>
      </c>
    </row>
    <row r="52" spans="1:5" x14ac:dyDescent="0.3">
      <c r="A52" s="157">
        <v>44896</v>
      </c>
      <c r="B52" s="158">
        <v>60840.74</v>
      </c>
      <c r="C52" s="159">
        <f t="shared" si="0"/>
        <v>-3.5799089218403024E-2</v>
      </c>
      <c r="D52" s="158">
        <v>3005.25</v>
      </c>
      <c r="E52" s="159">
        <f t="shared" si="0"/>
        <v>-3.8735266364930299E-2</v>
      </c>
    </row>
    <row r="53" spans="1:5" x14ac:dyDescent="0.3">
      <c r="A53" s="157">
        <v>44927</v>
      </c>
      <c r="B53" s="158">
        <v>59549.9</v>
      </c>
      <c r="C53" s="159">
        <f t="shared" si="0"/>
        <v>-2.1216704464804281E-2</v>
      </c>
      <c r="D53" s="158">
        <v>3009.75</v>
      </c>
      <c r="E53" s="159">
        <f t="shared" si="0"/>
        <v>1.4973795857249339E-3</v>
      </c>
    </row>
    <row r="54" spans="1:5" x14ac:dyDescent="0.3">
      <c r="A54" s="157">
        <v>44958</v>
      </c>
      <c r="B54" s="158">
        <v>58962.12</v>
      </c>
      <c r="C54" s="159">
        <f t="shared" si="0"/>
        <v>-9.8703776160833367E-3</v>
      </c>
      <c r="D54" s="158">
        <v>3175.5</v>
      </c>
      <c r="E54" s="159">
        <f t="shared" si="0"/>
        <v>5.5071019187640236E-2</v>
      </c>
    </row>
    <row r="55" spans="1:5" x14ac:dyDescent="0.3">
      <c r="A55" s="157">
        <v>44986</v>
      </c>
      <c r="B55" s="158">
        <v>58991.519999999997</v>
      </c>
      <c r="C55" s="159">
        <f t="shared" si="0"/>
        <v>4.9862521903887291E-4</v>
      </c>
      <c r="D55" s="158">
        <v>3397.85</v>
      </c>
      <c r="E55" s="159">
        <f t="shared" si="0"/>
        <v>7.002046921744598E-2</v>
      </c>
    </row>
    <row r="56" spans="1:5" x14ac:dyDescent="0.3">
      <c r="A56" s="157">
        <v>45017</v>
      </c>
      <c r="B56" s="158">
        <v>61112.44</v>
      </c>
      <c r="C56" s="159">
        <f t="shared" si="0"/>
        <v>3.5952964087041739E-2</v>
      </c>
      <c r="D56" s="158">
        <v>3513.5</v>
      </c>
      <c r="E56" s="159">
        <f t="shared" si="0"/>
        <v>3.4036228791735956E-2</v>
      </c>
    </row>
    <row r="57" spans="1:5" x14ac:dyDescent="0.3">
      <c r="A57" s="157">
        <v>45047</v>
      </c>
      <c r="B57" s="158">
        <v>62622.239999999998</v>
      </c>
      <c r="C57" s="159">
        <f t="shared" si="0"/>
        <v>2.4705280954254061E-2</v>
      </c>
      <c r="D57" s="158">
        <v>3358</v>
      </c>
      <c r="E57" s="159">
        <f t="shared" si="0"/>
        <v>-4.4257862530240555E-2</v>
      </c>
    </row>
    <row r="58" spans="1:5" x14ac:dyDescent="0.3">
      <c r="A58" s="157">
        <v>45078</v>
      </c>
      <c r="B58" s="158">
        <v>64718.559999999998</v>
      </c>
      <c r="C58" s="159">
        <f t="shared" si="0"/>
        <v>3.3475646990589913E-2</v>
      </c>
      <c r="D58" s="158">
        <v>3512.3</v>
      </c>
      <c r="E58" s="159">
        <f t="shared" si="0"/>
        <v>4.5949970220369396E-2</v>
      </c>
    </row>
    <row r="59" spans="1:5" x14ac:dyDescent="0.3">
      <c r="A59" s="157">
        <v>45108</v>
      </c>
      <c r="B59" s="158">
        <v>66527.67</v>
      </c>
      <c r="C59" s="159">
        <f t="shared" si="0"/>
        <v>2.7953495875062684E-2</v>
      </c>
      <c r="D59" s="158">
        <v>3977.2</v>
      </c>
      <c r="E59" s="159">
        <f t="shared" si="0"/>
        <v>0.13236340859265994</v>
      </c>
    </row>
    <row r="60" spans="1:5" x14ac:dyDescent="0.3">
      <c r="A60" s="157">
        <v>45139</v>
      </c>
      <c r="B60" s="158">
        <v>64831.41</v>
      </c>
      <c r="C60" s="159">
        <f t="shared" si="0"/>
        <v>-2.5497060095445945E-2</v>
      </c>
      <c r="D60" s="158">
        <v>3638.95</v>
      </c>
      <c r="E60" s="159">
        <f t="shared" si="0"/>
        <v>-8.5047269435784001E-2</v>
      </c>
    </row>
    <row r="61" spans="1:5" x14ac:dyDescent="0.3">
      <c r="A61" s="157">
        <v>45170</v>
      </c>
      <c r="B61" s="158">
        <v>65828.41</v>
      </c>
      <c r="C61" s="159">
        <f t="shared" si="0"/>
        <v>1.5378348242001794E-2</v>
      </c>
      <c r="D61" s="158">
        <v>3607.65</v>
      </c>
      <c r="E61" s="159">
        <f t="shared" si="0"/>
        <v>-8.6013822668625783E-3</v>
      </c>
    </row>
    <row r="62" spans="1:5" x14ac:dyDescent="0.3">
      <c r="A62" s="157">
        <v>45200</v>
      </c>
      <c r="B62" s="158">
        <v>63874.93</v>
      </c>
      <c r="C62" s="159">
        <f t="shared" si="0"/>
        <v>-2.9675333188208586E-2</v>
      </c>
      <c r="D62" s="158">
        <v>3723.3</v>
      </c>
      <c r="E62" s="159">
        <f t="shared" si="0"/>
        <v>3.2056879131844962E-2</v>
      </c>
    </row>
    <row r="63" spans="1:5" x14ac:dyDescent="0.3">
      <c r="A63" s="157">
        <v>45231</v>
      </c>
      <c r="B63" s="158">
        <v>66988.44</v>
      </c>
      <c r="C63" s="159">
        <f t="shared" si="0"/>
        <v>4.8743849895412916E-2</v>
      </c>
      <c r="D63" s="158">
        <v>4725.7</v>
      </c>
      <c r="E63" s="159">
        <f t="shared" si="0"/>
        <v>0.26922353825907108</v>
      </c>
    </row>
    <row r="64" spans="1:5" x14ac:dyDescent="0.3">
      <c r="A64" s="157">
        <v>45261</v>
      </c>
      <c r="B64" s="158">
        <v>72240.259999999995</v>
      </c>
      <c r="C64" s="159">
        <f t="shared" si="0"/>
        <v>7.8398899869887906E-2</v>
      </c>
      <c r="D64" s="158">
        <v>5192.6000000000004</v>
      </c>
      <c r="E64" s="159">
        <f t="shared" si="0"/>
        <v>9.8800177751444451E-2</v>
      </c>
    </row>
    <row r="65" spans="1:5" x14ac:dyDescent="0.3">
      <c r="A65" s="157">
        <v>45292</v>
      </c>
      <c r="B65" s="158">
        <v>71752.11</v>
      </c>
      <c r="C65" s="159">
        <f t="shared" si="0"/>
        <v>-6.7573123352545617E-3</v>
      </c>
      <c r="D65" s="158">
        <v>4994.3999999999996</v>
      </c>
      <c r="E65" s="159">
        <f t="shared" si="0"/>
        <v>-3.8169703038940184E-2</v>
      </c>
    </row>
    <row r="66" spans="1:5" x14ac:dyDescent="0.3">
      <c r="A66" s="157">
        <v>45323</v>
      </c>
      <c r="B66" s="158">
        <v>72790.13</v>
      </c>
      <c r="C66" s="159">
        <f t="shared" si="0"/>
        <v>1.4466752266936833E-2</v>
      </c>
      <c r="D66" s="158">
        <v>5060.3</v>
      </c>
      <c r="E66" s="159">
        <f t="shared" si="0"/>
        <v>1.3194778151529807E-2</v>
      </c>
    </row>
  </sheetData>
  <pageMargins left="0.7" right="0.7" top="0.75" bottom="0.75" header="0.3" footer="0.3"/>
  <pageSetup orientation="portrait" r:id="rId1"/>
  <ignoredErrors>
    <ignoredError sqref="H6:H7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D5B6-26C4-4D26-B4AC-D74B67A1CFBC}">
  <dimension ref="A1:L39"/>
  <sheetViews>
    <sheetView showGridLines="0" topLeftCell="D4" zoomScaleNormal="100" workbookViewId="0">
      <selection activeCell="K12" sqref="K12"/>
    </sheetView>
  </sheetViews>
  <sheetFormatPr defaultColWidth="11.6640625" defaultRowHeight="14.4" x14ac:dyDescent="0.3"/>
  <cols>
    <col min="1" max="3" width="1.21875" style="3" customWidth="1"/>
    <col min="4" max="4" width="40.6640625" style="3" customWidth="1"/>
    <col min="5" max="6" width="12.6640625" style="3" customWidth="1"/>
    <col min="7" max="7" width="2.6640625" style="3" customWidth="1"/>
    <col min="8" max="9" width="11.6640625" style="3"/>
    <col min="10" max="10" width="14.109375" style="3" customWidth="1"/>
    <col min="11" max="16384" width="11.6640625" style="3"/>
  </cols>
  <sheetData>
    <row r="1" spans="1:12" ht="32.4" x14ac:dyDescent="0.6">
      <c r="A1" s="1" t="str">
        <f>Index!A1</f>
        <v>Alkem Laboratories Limited</v>
      </c>
      <c r="B1" s="2"/>
      <c r="C1" s="2"/>
      <c r="D1" s="2"/>
      <c r="E1" s="2"/>
      <c r="F1" s="2"/>
      <c r="G1" s="2"/>
      <c r="H1" s="2"/>
      <c r="I1" s="2"/>
      <c r="J1" s="2"/>
      <c r="K1" s="2"/>
      <c r="L1" s="58"/>
    </row>
    <row r="2" spans="1:12" ht="15.6" x14ac:dyDescent="0.3">
      <c r="A2" s="4" t="s">
        <v>401</v>
      </c>
      <c r="B2" s="2"/>
      <c r="C2" s="2"/>
      <c r="D2" s="2"/>
      <c r="E2" s="2"/>
      <c r="F2" s="2"/>
      <c r="G2" s="2"/>
      <c r="H2" s="2"/>
      <c r="I2" s="2"/>
      <c r="J2" s="2"/>
      <c r="K2" s="2"/>
      <c r="L2" s="58"/>
    </row>
    <row r="3" spans="1:12" s="58" customFormat="1" ht="15.6" x14ac:dyDescent="0.3"/>
    <row r="4" spans="1:12" s="58" customFormat="1" ht="15.6" x14ac:dyDescent="0.3">
      <c r="A4" s="214" t="s">
        <v>402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s="58" customFormat="1" ht="15.6" x14ac:dyDescent="0.3">
      <c r="A5" s="3"/>
      <c r="B5" s="3"/>
      <c r="C5" s="3"/>
      <c r="D5" s="3"/>
      <c r="E5" s="3"/>
      <c r="F5" s="3"/>
      <c r="G5" s="3"/>
      <c r="H5" s="215"/>
      <c r="I5" s="215"/>
      <c r="J5" s="215"/>
      <c r="K5" s="191" t="s">
        <v>409</v>
      </c>
    </row>
    <row r="6" spans="1:12" s="58" customFormat="1" ht="15.6" x14ac:dyDescent="0.3">
      <c r="A6" s="3"/>
      <c r="B6" s="3"/>
      <c r="C6" s="3"/>
      <c r="D6" s="3"/>
      <c r="E6" s="3"/>
      <c r="F6" s="3"/>
      <c r="G6" s="3"/>
      <c r="H6" s="191" t="s">
        <v>282</v>
      </c>
      <c r="I6" s="191" t="s">
        <v>403</v>
      </c>
      <c r="J6" s="191" t="s">
        <v>408</v>
      </c>
      <c r="K6" s="191" t="s">
        <v>407</v>
      </c>
    </row>
    <row r="7" spans="1:12" s="58" customFormat="1" ht="15.6" x14ac:dyDescent="0.3">
      <c r="A7" s="3"/>
      <c r="B7" s="3"/>
      <c r="C7" s="3"/>
      <c r="D7" s="3" t="s">
        <v>410</v>
      </c>
      <c r="E7" s="3"/>
      <c r="F7" s="3"/>
      <c r="G7" s="3"/>
      <c r="H7" s="57">
        <f>MAX(Comps!L25:L27)</f>
        <v>6351.2657592601108</v>
      </c>
      <c r="I7" s="57">
        <v>5984.7717589496506</v>
      </c>
      <c r="J7" s="57">
        <f>Beta!H7</f>
        <v>5192.6000000000004</v>
      </c>
      <c r="K7" s="57">
        <v>5500</v>
      </c>
    </row>
    <row r="8" spans="1:12" s="58" customFormat="1" ht="15.6" x14ac:dyDescent="0.3">
      <c r="A8" s="3"/>
      <c r="B8" s="3"/>
      <c r="C8" s="3"/>
      <c r="D8" s="3" t="s">
        <v>410</v>
      </c>
      <c r="E8" s="3"/>
      <c r="F8" s="3"/>
      <c r="G8" s="3"/>
      <c r="H8" s="57">
        <f>H7</f>
        <v>6351.2657592601108</v>
      </c>
      <c r="I8" s="57">
        <f>I7</f>
        <v>5984.7717589496506</v>
      </c>
      <c r="J8" s="57">
        <f>J7</f>
        <v>5192.6000000000004</v>
      </c>
      <c r="K8" s="57">
        <f>K7</f>
        <v>5500</v>
      </c>
    </row>
    <row r="9" spans="1:12" s="58" customFormat="1" ht="15.6" x14ac:dyDescent="0.3">
      <c r="A9" s="3"/>
      <c r="B9" s="3"/>
      <c r="C9" s="3"/>
      <c r="D9" s="3" t="s">
        <v>404</v>
      </c>
      <c r="E9" s="3"/>
      <c r="F9" s="3"/>
      <c r="G9" s="3"/>
      <c r="H9" s="57">
        <f>MIN(Comps!L25:L27)</f>
        <v>5373.0900104838474</v>
      </c>
      <c r="I9" s="57">
        <v>4350.0840895115316</v>
      </c>
      <c r="J9" s="57">
        <f>Beta!H6</f>
        <v>3175.5</v>
      </c>
      <c r="K9" s="57">
        <v>4800</v>
      </c>
    </row>
    <row r="10" spans="1:12" s="58" customFormat="1" ht="15.6" x14ac:dyDescent="0.3">
      <c r="A10" s="3"/>
      <c r="B10" s="3"/>
      <c r="C10" s="3"/>
      <c r="D10" s="3" t="s">
        <v>404</v>
      </c>
      <c r="E10" s="3"/>
      <c r="F10" s="3"/>
      <c r="G10" s="3"/>
      <c r="H10" s="57">
        <f>H9</f>
        <v>5373.0900104838474</v>
      </c>
      <c r="I10" s="57">
        <f>I9</f>
        <v>4350.0840895115316</v>
      </c>
      <c r="J10" s="57">
        <f>J9</f>
        <v>3175.5</v>
      </c>
      <c r="K10" s="57">
        <f>K9</f>
        <v>4800</v>
      </c>
    </row>
    <row r="11" spans="1:12" s="58" customFormat="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 t="s">
        <v>445</v>
      </c>
    </row>
    <row r="12" spans="1:12" s="58" customFormat="1" ht="15.6" x14ac:dyDescent="0.3">
      <c r="A12" s="214" t="s">
        <v>414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s="58" customFormat="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s="58" customFormat="1" ht="15.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s="58" customFormat="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s="58" customFormat="1" ht="15.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58" customFormat="1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58" customFormat="1" ht="15.6" x14ac:dyDescent="0.3">
      <c r="I18" s="58" t="s">
        <v>444</v>
      </c>
    </row>
    <row r="19" spans="1:11" s="58" customFormat="1" ht="15.6" x14ac:dyDescent="0.3"/>
    <row r="20" spans="1:11" s="58" customFormat="1" ht="15.6" x14ac:dyDescent="0.3"/>
    <row r="21" spans="1:11" s="58" customFormat="1" ht="15.6" x14ac:dyDescent="0.3"/>
    <row r="22" spans="1:11" s="58" customFormat="1" ht="15.6" x14ac:dyDescent="0.3"/>
    <row r="23" spans="1:11" s="58" customFormat="1" ht="15.6" x14ac:dyDescent="0.3"/>
    <row r="24" spans="1:11" s="58" customFormat="1" ht="15.6" x14ac:dyDescent="0.3"/>
    <row r="25" spans="1:11" s="58" customFormat="1" ht="15.6" x14ac:dyDescent="0.3"/>
    <row r="26" spans="1:11" s="58" customFormat="1" ht="15.6" x14ac:dyDescent="0.3"/>
    <row r="27" spans="1:11" s="58" customFormat="1" ht="15.6" x14ac:dyDescent="0.3"/>
    <row r="28" spans="1:11" s="58" customFormat="1" ht="15.6" x14ac:dyDescent="0.3"/>
    <row r="29" spans="1:11" s="58" customFormat="1" ht="15.6" x14ac:dyDescent="0.3"/>
    <row r="30" spans="1:11" s="58" customFormat="1" ht="15.6" x14ac:dyDescent="0.3"/>
    <row r="31" spans="1:11" s="58" customFormat="1" ht="15.6" x14ac:dyDescent="0.3"/>
    <row r="32" spans="1:11" s="58" customFormat="1" ht="15.6" x14ac:dyDescent="0.3"/>
    <row r="33" s="58" customFormat="1" ht="15.6" x14ac:dyDescent="0.3"/>
    <row r="34" s="58" customFormat="1" ht="15.6" x14ac:dyDescent="0.3"/>
    <row r="35" s="58" customFormat="1" ht="15.6" x14ac:dyDescent="0.3"/>
    <row r="36" s="58" customFormat="1" ht="15.6" x14ac:dyDescent="0.3"/>
    <row r="37" s="58" customFormat="1" ht="15.6" x14ac:dyDescent="0.3"/>
    <row r="38" s="58" customFormat="1" ht="15.6" x14ac:dyDescent="0.3"/>
    <row r="39" s="3" customFormat="1" x14ac:dyDescent="0.3"/>
  </sheetData>
  <pageMargins left="0.7" right="0.7" top="0.75" bottom="0.75" header="0.3" footer="0.3"/>
  <pageSetup orientation="portrait" r:id="rId1"/>
  <ignoredErrors>
    <ignoredError sqref="H9:J9" formula="1"/>
  </ignoredError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D3F4-D2A1-4BC3-8FDA-E152833E4124}">
  <dimension ref="A1:L38"/>
  <sheetViews>
    <sheetView showGridLines="0" zoomScaleNormal="100" workbookViewId="0"/>
  </sheetViews>
  <sheetFormatPr defaultColWidth="11.6640625" defaultRowHeight="14.4" x14ac:dyDescent="0.3"/>
  <cols>
    <col min="1" max="3" width="1.21875" style="3" customWidth="1"/>
    <col min="4" max="4" width="40.6640625" style="3" customWidth="1"/>
    <col min="5" max="6" width="12.6640625" style="3" customWidth="1"/>
    <col min="7" max="7" width="2.6640625" style="3" customWidth="1"/>
    <col min="8" max="16384" width="11.6640625" style="3"/>
  </cols>
  <sheetData>
    <row r="1" spans="1:12" ht="32.4" x14ac:dyDescent="0.6">
      <c r="A1" s="1" t="str">
        <f>Index!A1</f>
        <v>Alkem Laboratories Limited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6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58" customFormat="1" ht="15.6" x14ac:dyDescent="0.3"/>
    <row r="4" spans="1:12" s="58" customFormat="1" ht="15.6" x14ac:dyDescent="0.3"/>
    <row r="5" spans="1:12" s="58" customFormat="1" ht="15.6" x14ac:dyDescent="0.3"/>
    <row r="6" spans="1:12" s="58" customFormat="1" ht="15.6" x14ac:dyDescent="0.3"/>
    <row r="7" spans="1:12" s="58" customFormat="1" ht="15.6" x14ac:dyDescent="0.3"/>
    <row r="8" spans="1:12" s="58" customFormat="1" ht="15.6" x14ac:dyDescent="0.3"/>
    <row r="9" spans="1:12" s="58" customFormat="1" ht="15.6" x14ac:dyDescent="0.3">
      <c r="E9" s="59"/>
      <c r="F9" s="59"/>
      <c r="H9" s="59"/>
    </row>
    <row r="10" spans="1:12" s="58" customFormat="1" ht="15.6" x14ac:dyDescent="0.3"/>
    <row r="11" spans="1:12" s="58" customFormat="1" ht="15.6" x14ac:dyDescent="0.3"/>
    <row r="12" spans="1:12" s="58" customFormat="1" ht="15.6" x14ac:dyDescent="0.3"/>
    <row r="13" spans="1:12" s="58" customFormat="1" ht="15.6" x14ac:dyDescent="0.3"/>
    <row r="14" spans="1:12" s="58" customFormat="1" ht="15.6" x14ac:dyDescent="0.3"/>
    <row r="15" spans="1:12" s="58" customFormat="1" ht="15.6" x14ac:dyDescent="0.3"/>
    <row r="16" spans="1:12" s="58" customFormat="1" ht="15.6" x14ac:dyDescent="0.3"/>
    <row r="17" s="58" customFormat="1" ht="15.6" x14ac:dyDescent="0.3"/>
    <row r="18" s="58" customFormat="1" ht="15.6" x14ac:dyDescent="0.3"/>
    <row r="19" s="58" customFormat="1" ht="15.6" x14ac:dyDescent="0.3"/>
    <row r="20" s="58" customFormat="1" ht="15.6" x14ac:dyDescent="0.3"/>
    <row r="21" s="58" customFormat="1" ht="15.6" x14ac:dyDescent="0.3"/>
    <row r="22" s="58" customFormat="1" ht="15.6" x14ac:dyDescent="0.3"/>
    <row r="23" s="58" customFormat="1" ht="15.6" x14ac:dyDescent="0.3"/>
    <row r="24" s="58" customFormat="1" ht="15.6" x14ac:dyDescent="0.3"/>
    <row r="25" s="58" customFormat="1" ht="15.6" x14ac:dyDescent="0.3"/>
    <row r="26" s="58" customFormat="1" ht="15.6" x14ac:dyDescent="0.3"/>
    <row r="27" s="58" customFormat="1" ht="15.6" x14ac:dyDescent="0.3"/>
    <row r="28" s="58" customFormat="1" ht="15.6" x14ac:dyDescent="0.3"/>
    <row r="29" s="58" customFormat="1" ht="15.6" x14ac:dyDescent="0.3"/>
    <row r="30" s="58" customFormat="1" ht="15.6" x14ac:dyDescent="0.3"/>
    <row r="31" s="58" customFormat="1" ht="15.6" x14ac:dyDescent="0.3"/>
    <row r="32" s="58" customFormat="1" ht="15.6" x14ac:dyDescent="0.3"/>
    <row r="33" s="58" customFormat="1" ht="15.6" x14ac:dyDescent="0.3"/>
    <row r="34" s="58" customFormat="1" ht="15.6" x14ac:dyDescent="0.3"/>
    <row r="35" s="58" customFormat="1" ht="15.6" x14ac:dyDescent="0.3"/>
    <row r="36" s="58" customFormat="1" ht="15.6" x14ac:dyDescent="0.3"/>
    <row r="37" s="58" customFormat="1" ht="15.6" x14ac:dyDescent="0.3"/>
    <row r="38" s="58" customFormat="1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Historical</vt:lpstr>
      <vt:lpstr>Model</vt:lpstr>
      <vt:lpstr>Scenarios</vt:lpstr>
      <vt:lpstr>Comps</vt:lpstr>
      <vt:lpstr>Comps_Data</vt:lpstr>
      <vt:lpstr>Market_Data</vt:lpstr>
      <vt:lpstr>WACC</vt:lpstr>
      <vt:lpstr>Beta</vt:lpstr>
      <vt:lpstr>Summary- Football Field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Sharma</dc:creator>
  <cp:lastModifiedBy>Anshita Mittal</cp:lastModifiedBy>
  <cp:lastPrinted>2024-11-24T07:03:29Z</cp:lastPrinted>
  <dcterms:created xsi:type="dcterms:W3CDTF">2024-02-23T09:13:57Z</dcterms:created>
  <dcterms:modified xsi:type="dcterms:W3CDTF">2024-11-24T18:45:40Z</dcterms:modified>
  <cp:contentStatus/>
</cp:coreProperties>
</file>