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CC59" lockStructure="1"/>
  <bookViews>
    <workbookView xWindow="-2475" yWindow="510" windowWidth="14940" windowHeight="8640"/>
  </bookViews>
  <sheets>
    <sheet name="TCF HELOC Worksheet" sheetId="1" r:id="rId1"/>
  </sheets>
  <calcPr calcId="145621"/>
</workbook>
</file>

<file path=xl/calcChain.xml><?xml version="1.0" encoding="utf-8"?>
<calcChain xmlns="http://schemas.openxmlformats.org/spreadsheetml/2006/main">
  <c r="G47" i="1" l="1"/>
  <c r="C43" i="1" l="1"/>
  <c r="C42" i="1"/>
  <c r="E42" i="1"/>
  <c r="E43" i="1"/>
  <c r="J38" i="1" l="1"/>
  <c r="J40" i="1" s="1"/>
  <c r="J26" i="1"/>
  <c r="J27" i="1"/>
  <c r="B27" i="1" l="1"/>
  <c r="C37" i="1" s="1"/>
  <c r="J23" i="1" l="1"/>
  <c r="G35" i="1" l="1"/>
  <c r="G34" i="1"/>
  <c r="K23" i="1"/>
  <c r="C26" i="1" s="1"/>
  <c r="I33" i="1" s="1"/>
  <c r="I14" i="1"/>
  <c r="K10" i="1" s="1"/>
  <c r="G42" i="1" l="1"/>
  <c r="C50" i="1" s="1"/>
  <c r="G50" i="1" s="1"/>
  <c r="I43" i="1"/>
  <c r="J29" i="1"/>
  <c r="J30" i="1" s="1"/>
  <c r="J10" i="1"/>
  <c r="B38" i="1" l="1"/>
</calcChain>
</file>

<file path=xl/sharedStrings.xml><?xml version="1.0" encoding="utf-8"?>
<sst xmlns="http://schemas.openxmlformats.org/spreadsheetml/2006/main" count="134" uniqueCount="121">
  <si>
    <t>Loan Officer Name</t>
  </si>
  <si>
    <t>Processor Name</t>
  </si>
  <si>
    <t>Purchase Price / Value</t>
  </si>
  <si>
    <t>LTV</t>
  </si>
  <si>
    <t>CLTV</t>
  </si>
  <si>
    <t>Debt Ratio Summary:</t>
  </si>
  <si>
    <t>LTV Summary:</t>
  </si>
  <si>
    <t>1st Mortgage Balance</t>
  </si>
  <si>
    <t>TCF Total Line Request</t>
  </si>
  <si>
    <t>Amount Disbursing at Closing</t>
  </si>
  <si>
    <t>Loan Officer Phone #</t>
  </si>
  <si>
    <t>Loan Officer Email</t>
  </si>
  <si>
    <t>Processor Phone #</t>
  </si>
  <si>
    <t>Processor Email</t>
  </si>
  <si>
    <t>1st Mortgage P&amp;I</t>
  </si>
  <si>
    <t>TCF Total Line Payment</t>
  </si>
  <si>
    <t>Total Other Payments</t>
  </si>
  <si>
    <t>Total Monthly Payments</t>
  </si>
  <si>
    <t>Hazard Insurance</t>
  </si>
  <si>
    <t>Real Estate Taxes</t>
  </si>
  <si>
    <t>Homeowner Assn Dues</t>
  </si>
  <si>
    <t>TCF Rate</t>
  </si>
  <si>
    <t>Credit Score Summary:</t>
  </si>
  <si>
    <t>Estimated Closing Date</t>
  </si>
  <si>
    <t>Middle Score for Underwriting</t>
  </si>
  <si>
    <t>Is this home going to be held in trust?</t>
  </si>
  <si>
    <t>Payment Shock</t>
  </si>
  <si>
    <t>Loan Officer MLO #</t>
  </si>
  <si>
    <t>HELOC Loan Type</t>
  </si>
  <si>
    <t>Purchase</t>
  </si>
  <si>
    <t>Refinance</t>
  </si>
  <si>
    <t>Stand Alone</t>
  </si>
  <si>
    <t>Property Type</t>
  </si>
  <si>
    <t>Total Income</t>
  </si>
  <si>
    <t>Total DTI</t>
  </si>
  <si>
    <t>Housing DTI</t>
  </si>
  <si>
    <t>Middle Score</t>
  </si>
  <si>
    <t>Co-Borrower</t>
  </si>
  <si>
    <t>Borrower</t>
  </si>
  <si>
    <t>Non-Purchase</t>
  </si>
  <si>
    <t>Total Line Allowed for LTV</t>
  </si>
  <si>
    <t>Use highest wage earner's Middle score for underwriting</t>
  </si>
  <si>
    <t>1st Mtg Contingent Date</t>
  </si>
  <si>
    <t>Property State</t>
  </si>
  <si>
    <t>States</t>
  </si>
  <si>
    <t>AR</t>
  </si>
  <si>
    <t>AZ</t>
  </si>
  <si>
    <t>CA</t>
  </si>
  <si>
    <t>CO</t>
  </si>
  <si>
    <t>CT</t>
  </si>
  <si>
    <t>IA</t>
  </si>
  <si>
    <t>ID</t>
  </si>
  <si>
    <t>IL</t>
  </si>
  <si>
    <t>IN</t>
  </si>
  <si>
    <t>KS</t>
  </si>
  <si>
    <t>KY</t>
  </si>
  <si>
    <t>MA</t>
  </si>
  <si>
    <t>MD</t>
  </si>
  <si>
    <t>ME</t>
  </si>
  <si>
    <t>MI</t>
  </si>
  <si>
    <t>MN</t>
  </si>
  <si>
    <t>MO</t>
  </si>
  <si>
    <t>MT</t>
  </si>
  <si>
    <t>ND</t>
  </si>
  <si>
    <t>NE</t>
  </si>
  <si>
    <t>NH</t>
  </si>
  <si>
    <t>NJ</t>
  </si>
  <si>
    <t>NM</t>
  </si>
  <si>
    <t>OH</t>
  </si>
  <si>
    <t>OR</t>
  </si>
  <si>
    <t>PA</t>
  </si>
  <si>
    <t>SC</t>
  </si>
  <si>
    <t>SD</t>
  </si>
  <si>
    <t>TN</t>
  </si>
  <si>
    <t>UT</t>
  </si>
  <si>
    <t>VA</t>
  </si>
  <si>
    <t>VT</t>
  </si>
  <si>
    <t>WA</t>
  </si>
  <si>
    <t>D.C.</t>
  </si>
  <si>
    <t>WI</t>
  </si>
  <si>
    <t>WY</t>
  </si>
  <si>
    <t>FICO&gt;=700</t>
  </si>
  <si>
    <t>See Today's Pricing Guide</t>
  </si>
  <si>
    <t>Borrower Name</t>
  </si>
  <si>
    <t>Co-Borrower Name</t>
  </si>
  <si>
    <t>GA</t>
  </si>
  <si>
    <t>http://tcfbrokerloans.com/</t>
  </si>
  <si>
    <t xml:space="preserve"> </t>
  </si>
  <si>
    <t>FL</t>
  </si>
  <si>
    <t>NY</t>
  </si>
  <si>
    <t>DE</t>
  </si>
  <si>
    <t>FICO&gt;=730</t>
  </si>
  <si>
    <t>NV</t>
  </si>
  <si>
    <t>RI</t>
  </si>
  <si>
    <t xml:space="preserve">HELOC Loan Type: </t>
  </si>
  <si>
    <t>Primary</t>
  </si>
  <si>
    <t>Secondary (Owner Occ.)</t>
  </si>
  <si>
    <t>(max income #)</t>
  </si>
  <si>
    <t>(CB Score of prim)</t>
  </si>
  <si>
    <t>Primary Res Workspace</t>
  </si>
  <si>
    <t>Min</t>
  </si>
  <si>
    <t>Max</t>
  </si>
  <si>
    <t>Max Loan amt</t>
  </si>
  <si>
    <t>Policy loan amt</t>
  </si>
  <si>
    <t>Credit Score Summary Error</t>
  </si>
  <si>
    <t>(Select)</t>
  </si>
  <si>
    <t>Secondary Res Workspace</t>
  </si>
  <si>
    <t>85.00%  CLTV on Secondary Res. up to $1,275,000 total exposure with a minimum FICO score of 730</t>
  </si>
  <si>
    <t>Other Housing Expenses</t>
  </si>
  <si>
    <t>89.99%  CLTV Primary Res. up to $750,000 total exposure with a minimum FICO score of 700 (CA is 720)</t>
  </si>
  <si>
    <t>Residence Type:</t>
  </si>
  <si>
    <t>Primary Residence</t>
  </si>
  <si>
    <t>2nd Residence (if applicable)</t>
  </si>
  <si>
    <t>89.99%  CLTV on Primary Res. up to $1,500,000 total exposure with a minimum FICO score of 730</t>
  </si>
  <si>
    <t>***Prime Rate Index***</t>
  </si>
  <si>
    <t>Margin 1</t>
  </si>
  <si>
    <t>Margin 2</t>
  </si>
  <si>
    <t>Margin 3</t>
  </si>
  <si>
    <t>Exposure Max</t>
  </si>
  <si>
    <t>(Select State)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</si>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</sst>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&lt;=9999999]###\-####;\(###\)\ ###\-####"/>
    <numFmt numFmtId="165" formatCode="0.000%"/>
    <numFmt numFmtId="166" formatCode="_(&quot;$&quot;* #,##0_);_(&quot;$&quot;* \(#,##0\);_(&quot;$&quot;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36"/>
      <name val="Calibri"/>
      <family val="2"/>
      <scheme val="minor"/>
    </font>
    <font>
      <u/>
      <sz val="11"/>
      <color indexed="8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6"/>
      <color indexed="10"/>
      <name val="Calibri"/>
      <family val="2"/>
      <scheme val="minor"/>
    </font>
    <font>
      <sz val="8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0"/>
      <color indexed="1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Alignment="0" applyProtection="0"/>
  </cellStyleXfs>
  <cellXfs count="134">
    <xf numFmtId="0" fontId="0" fillId="0" borderId="0" xfId="0"/>
    <xf numFmtId="0" fontId="8" fillId="0" borderId="0" xfId="0" applyFont="1" applyFill="1" applyProtection="1"/>
    <xf numFmtId="0" fontId="9" fillId="0" borderId="0" xfId="0" applyFont="1" applyFill="1" applyBorder="1" applyAlignment="1" applyProtection="1"/>
    <xf numFmtId="0" fontId="9" fillId="0" borderId="1" xfId="0" applyFont="1" applyFill="1" applyBorder="1" applyAlignment="1" applyProtection="1">
      <alignment horizontal="right" indent="1"/>
    </xf>
    <xf numFmtId="0" fontId="9" fillId="0" borderId="0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/>
    <xf numFmtId="44" fontId="8" fillId="0" borderId="0" xfId="1" applyFont="1" applyFill="1" applyProtection="1"/>
    <xf numFmtId="0" fontId="9" fillId="0" borderId="0" xfId="0" applyFont="1" applyFill="1" applyBorder="1" applyAlignment="1" applyProtection="1">
      <alignment horizontal="right"/>
    </xf>
    <xf numFmtId="0" fontId="8" fillId="0" borderId="0" xfId="0" applyFont="1" applyFill="1" applyProtection="1">
      <protection locked="0"/>
    </xf>
    <xf numFmtId="0" fontId="10" fillId="0" borderId="0" xfId="0" applyFont="1" applyBorder="1" applyAlignment="1"/>
    <xf numFmtId="0" fontId="9" fillId="0" borderId="0" xfId="0" applyFont="1" applyFill="1" applyProtection="1"/>
    <xf numFmtId="0" fontId="8" fillId="0" borderId="0" xfId="0" applyFont="1" applyFill="1" applyAlignment="1" applyProtection="1">
      <alignment horizontal="center"/>
    </xf>
    <xf numFmtId="44" fontId="8" fillId="0" borderId="0" xfId="1" applyFont="1" applyFill="1" applyBorder="1" applyProtection="1"/>
    <xf numFmtId="0" fontId="8" fillId="0" borderId="0" xfId="0" applyFont="1" applyFill="1" applyBorder="1" applyProtection="1"/>
    <xf numFmtId="0" fontId="8" fillId="0" borderId="0" xfId="0" applyFont="1" applyFill="1" applyAlignment="1" applyProtection="1"/>
    <xf numFmtId="0" fontId="8" fillId="0" borderId="0" xfId="0" applyFont="1" applyFill="1" applyAlignment="1" applyProtection="1">
      <alignment horizontal="center" vertical="center"/>
    </xf>
    <xf numFmtId="0" fontId="7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 applyProtection="1">
      <alignment horizontal="left" vertical="center"/>
    </xf>
    <xf numFmtId="0" fontId="9" fillId="0" borderId="0" xfId="0" applyFont="1" applyFill="1" applyAlignment="1" applyProtection="1">
      <alignment horizontal="right"/>
    </xf>
    <xf numFmtId="10" fontId="8" fillId="0" borderId="0" xfId="0" applyNumberFormat="1" applyFont="1" applyFill="1" applyProtection="1"/>
    <xf numFmtId="10" fontId="8" fillId="0" borderId="0" xfId="1" applyNumberFormat="1" applyFont="1" applyFill="1" applyProtection="1"/>
    <xf numFmtId="0" fontId="7" fillId="0" borderId="5" xfId="0" applyFont="1" applyBorder="1" applyAlignment="1">
      <alignment horizontal="left" vertical="center" wrapText="1"/>
    </xf>
    <xf numFmtId="0" fontId="8" fillId="0" borderId="5" xfId="0" applyFont="1" applyFill="1" applyBorder="1" applyProtection="1"/>
    <xf numFmtId="0" fontId="8" fillId="0" borderId="0" xfId="0" applyFont="1" applyFill="1" applyAlignment="1" applyProtection="1">
      <alignment horizontal="right"/>
    </xf>
    <xf numFmtId="0" fontId="14" fillId="0" borderId="0" xfId="0" applyFont="1" applyFill="1" applyAlignment="1" applyProtection="1">
      <alignment vertical="center"/>
      <protection locked="0"/>
    </xf>
    <xf numFmtId="0" fontId="3" fillId="0" borderId="5" xfId="0" applyFont="1" applyBorder="1" applyAlignment="1">
      <alignment horizontal="left" vertical="center" wrapText="1"/>
    </xf>
    <xf numFmtId="0" fontId="8" fillId="0" borderId="6" xfId="0" applyFont="1" applyFill="1" applyBorder="1" applyAlignment="1" applyProtection="1"/>
    <xf numFmtId="0" fontId="9" fillId="0" borderId="2" xfId="0" applyFont="1" applyFill="1" applyBorder="1" applyAlignment="1" applyProtection="1">
      <alignment horizontal="right" vertical="center" indent="1"/>
    </xf>
    <xf numFmtId="0" fontId="9" fillId="0" borderId="4" xfId="0" applyFont="1" applyFill="1" applyBorder="1" applyAlignment="1" applyProtection="1">
      <alignment horizontal="right" vertical="center" indent="1"/>
    </xf>
    <xf numFmtId="0" fontId="9" fillId="0" borderId="0" xfId="0" applyFont="1" applyFill="1" applyBorder="1" applyAlignment="1" applyProtection="1">
      <alignment horizontal="right" vertical="center" indent="1"/>
    </xf>
    <xf numFmtId="14" fontId="8" fillId="0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 applyProtection="1">
      <alignment horizontal="right" vertical="center" indent="1"/>
    </xf>
    <xf numFmtId="44" fontId="9" fillId="0" borderId="2" xfId="1" applyFont="1" applyFill="1" applyBorder="1" applyAlignment="1" applyProtection="1">
      <alignment vertical="center"/>
      <protection locked="0"/>
    </xf>
    <xf numFmtId="0" fontId="9" fillId="0" borderId="7" xfId="0" applyFont="1" applyFill="1" applyBorder="1" applyAlignment="1" applyProtection="1">
      <alignment horizontal="right" indent="1"/>
      <protection hidden="1"/>
    </xf>
    <xf numFmtId="44" fontId="8" fillId="0" borderId="7" xfId="1" applyFont="1" applyFill="1" applyBorder="1" applyProtection="1">
      <protection hidden="1"/>
    </xf>
    <xf numFmtId="0" fontId="8" fillId="0" borderId="0" xfId="0" applyFont="1" applyFill="1" applyProtection="1">
      <protection hidden="1"/>
    </xf>
    <xf numFmtId="0" fontId="8" fillId="0" borderId="6" xfId="0" applyFont="1" applyFill="1" applyBorder="1" applyProtection="1">
      <protection hidden="1"/>
    </xf>
    <xf numFmtId="0" fontId="9" fillId="0" borderId="2" xfId="0" applyFont="1" applyFill="1" applyBorder="1" applyAlignment="1" applyProtection="1">
      <alignment horizontal="right" indent="1"/>
      <protection hidden="1"/>
    </xf>
    <xf numFmtId="10" fontId="8" fillId="0" borderId="0" xfId="0" applyNumberFormat="1" applyFont="1" applyFill="1" applyProtection="1">
      <protection hidden="1"/>
    </xf>
    <xf numFmtId="0" fontId="9" fillId="0" borderId="0" xfId="0" applyFont="1" applyFill="1" applyBorder="1" applyAlignment="1" applyProtection="1"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9" fillId="0" borderId="2" xfId="0" applyFont="1" applyFill="1" applyBorder="1" applyAlignment="1" applyProtection="1">
      <alignment horizontal="center"/>
      <protection hidden="1"/>
    </xf>
    <xf numFmtId="10" fontId="11" fillId="0" borderId="2" xfId="0" applyNumberFormat="1" applyFont="1" applyFill="1" applyBorder="1" applyAlignment="1" applyProtection="1">
      <alignment horizontal="center"/>
      <protection hidden="1"/>
    </xf>
    <xf numFmtId="0" fontId="9" fillId="0" borderId="1" xfId="0" applyFont="1" applyFill="1" applyBorder="1" applyAlignment="1" applyProtection="1">
      <alignment horizontal="right" indent="1"/>
      <protection hidden="1"/>
    </xf>
    <xf numFmtId="10" fontId="11" fillId="0" borderId="0" xfId="0" applyNumberFormat="1" applyFont="1" applyFill="1" applyBorder="1" applyProtection="1">
      <protection hidden="1"/>
    </xf>
    <xf numFmtId="0" fontId="9" fillId="0" borderId="0" xfId="0" applyFont="1" applyFill="1" applyBorder="1" applyProtection="1">
      <protection hidden="1"/>
    </xf>
    <xf numFmtId="10" fontId="9" fillId="0" borderId="0" xfId="0" applyNumberFormat="1" applyFont="1" applyFill="1" applyBorder="1" applyProtection="1">
      <protection hidden="1"/>
    </xf>
    <xf numFmtId="10" fontId="9" fillId="0" borderId="0" xfId="0" applyNumberFormat="1" applyFont="1" applyFill="1" applyBorder="1" applyAlignment="1" applyProtection="1">
      <alignment horizontal="center"/>
      <protection hidden="1"/>
    </xf>
    <xf numFmtId="44" fontId="9" fillId="0" borderId="19" xfId="1" applyFont="1" applyFill="1" applyBorder="1" applyAlignment="1" applyProtection="1">
      <alignment vertical="center"/>
      <protection hidden="1"/>
    </xf>
    <xf numFmtId="44" fontId="11" fillId="0" borderId="2" xfId="1" applyFont="1" applyFill="1" applyBorder="1" applyAlignment="1" applyProtection="1">
      <alignment vertical="center"/>
      <protection hidden="1"/>
    </xf>
    <xf numFmtId="0" fontId="9" fillId="0" borderId="7" xfId="0" applyFont="1" applyFill="1" applyBorder="1" applyAlignment="1" applyProtection="1">
      <alignment horizontal="center"/>
      <protection hidden="1"/>
    </xf>
    <xf numFmtId="10" fontId="9" fillId="0" borderId="2" xfId="0" applyNumberFormat="1" applyFont="1" applyFill="1" applyBorder="1" applyAlignment="1" applyProtection="1">
      <alignment horizontal="center" vertical="center"/>
      <protection hidden="1"/>
    </xf>
    <xf numFmtId="44" fontId="9" fillId="0" borderId="0" xfId="1" applyFont="1" applyFill="1" applyBorder="1" applyAlignment="1" applyProtection="1">
      <alignment vertical="center"/>
      <protection hidden="1"/>
    </xf>
    <xf numFmtId="0" fontId="9" fillId="0" borderId="0" xfId="0" applyFont="1" applyFill="1" applyBorder="1" applyAlignment="1" applyProtection="1">
      <alignment vertical="top" wrapText="1"/>
      <protection hidden="1"/>
    </xf>
    <xf numFmtId="10" fontId="9" fillId="0" borderId="0" xfId="0" applyNumberFormat="1" applyFont="1" applyFill="1" applyBorder="1" applyAlignment="1" applyProtection="1">
      <alignment vertical="top" wrapText="1"/>
      <protection hidden="1"/>
    </xf>
    <xf numFmtId="0" fontId="8" fillId="0" borderId="3" xfId="0" applyFont="1" applyFill="1" applyBorder="1" applyProtection="1">
      <protection hidden="1"/>
    </xf>
    <xf numFmtId="10" fontId="8" fillId="0" borderId="6" xfId="0" applyNumberFormat="1" applyFont="1" applyFill="1" applyBorder="1" applyProtection="1">
      <protection hidden="1"/>
    </xf>
    <xf numFmtId="0" fontId="9" fillId="0" borderId="20" xfId="0" applyFont="1" applyFill="1" applyBorder="1" applyProtection="1">
      <protection hidden="1"/>
    </xf>
    <xf numFmtId="10" fontId="11" fillId="0" borderId="2" xfId="3" applyNumberFormat="1" applyFont="1" applyFill="1" applyBorder="1" applyAlignment="1" applyProtection="1">
      <alignment horizontal="center" vertical="center"/>
      <protection hidden="1"/>
    </xf>
    <xf numFmtId="10" fontId="11" fillId="0" borderId="2" xfId="0" applyNumberFormat="1" applyFont="1" applyFill="1" applyBorder="1" applyAlignment="1" applyProtection="1">
      <alignment horizontal="center" vertical="center"/>
      <protection hidden="1"/>
    </xf>
    <xf numFmtId="44" fontId="9" fillId="0" borderId="18" xfId="1" applyFont="1" applyFill="1" applyBorder="1" applyProtection="1">
      <protection locked="0"/>
    </xf>
    <xf numFmtId="44" fontId="9" fillId="0" borderId="2" xfId="1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right" indent="1"/>
    </xf>
    <xf numFmtId="44" fontId="21" fillId="0" borderId="2" xfId="1" applyFont="1" applyFill="1" applyBorder="1" applyAlignment="1" applyProtection="1">
      <alignment vertical="center"/>
      <protection hidden="1"/>
    </xf>
    <xf numFmtId="44" fontId="21" fillId="0" borderId="0" xfId="1" applyFont="1" applyFill="1" applyBorder="1" applyAlignment="1" applyProtection="1">
      <alignment vertical="center"/>
      <protection hidden="1"/>
    </xf>
    <xf numFmtId="0" fontId="9" fillId="0" borderId="0" xfId="0" applyFont="1" applyFill="1" applyBorder="1" applyAlignment="1" applyProtection="1">
      <alignment horizontal="center" wrapText="1"/>
      <protection hidden="1"/>
    </xf>
    <xf numFmtId="44" fontId="9" fillId="0" borderId="13" xfId="1" applyFont="1" applyFill="1" applyBorder="1" applyAlignment="1" applyProtection="1">
      <alignment vertical="center"/>
      <protection hidden="1"/>
    </xf>
    <xf numFmtId="44" fontId="9" fillId="0" borderId="3" xfId="1" applyFont="1" applyFill="1" applyBorder="1" applyAlignment="1" applyProtection="1">
      <alignment vertical="center"/>
      <protection hidden="1"/>
    </xf>
    <xf numFmtId="165" fontId="8" fillId="3" borderId="0" xfId="3" applyNumberFormat="1" applyFont="1" applyFill="1" applyProtection="1"/>
    <xf numFmtId="166" fontId="8" fillId="3" borderId="0" xfId="1" applyNumberFormat="1" applyFont="1" applyFill="1" applyProtection="1"/>
    <xf numFmtId="44" fontId="8" fillId="3" borderId="0" xfId="1" applyFont="1" applyFill="1" applyProtection="1"/>
    <xf numFmtId="0" fontId="2" fillId="0" borderId="5" xfId="0" applyFont="1" applyBorder="1" applyAlignment="1">
      <alignment horizontal="left" vertical="center" wrapText="1"/>
    </xf>
    <xf numFmtId="0" fontId="9" fillId="0" borderId="0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Alignment="1" applyProtection="1">
      <alignment horizontal="left"/>
      <protection hidden="1"/>
    </xf>
    <xf numFmtId="0" fontId="1" fillId="0" borderId="5" xfId="0" applyFont="1" applyBorder="1" applyAlignment="1">
      <alignment horizontal="left" vertical="center" wrapText="1"/>
    </xf>
    <xf numFmtId="44" fontId="9" fillId="2" borderId="19" xfId="1" applyFont="1" applyFill="1" applyBorder="1" applyAlignment="1" applyProtection="1">
      <alignment horizontal="center" vertical="center"/>
      <protection hidden="1"/>
    </xf>
    <xf numFmtId="44" fontId="9" fillId="2" borderId="20" xfId="1" applyFont="1" applyFill="1" applyBorder="1" applyAlignment="1" applyProtection="1">
      <alignment horizontal="center" vertical="center"/>
      <protection hidden="1"/>
    </xf>
    <xf numFmtId="0" fontId="8" fillId="0" borderId="17" xfId="0" applyFont="1" applyFill="1" applyBorder="1" applyAlignment="1" applyProtection="1">
      <alignment horizontal="center"/>
    </xf>
    <xf numFmtId="0" fontId="8" fillId="0" borderId="16" xfId="0" applyFont="1" applyFill="1" applyBorder="1" applyAlignment="1" applyProtection="1">
      <alignment horizontal="center"/>
    </xf>
    <xf numFmtId="0" fontId="19" fillId="0" borderId="0" xfId="2" applyFont="1" applyFill="1" applyAlignment="1" applyProtection="1">
      <alignment horizontal="center"/>
    </xf>
    <xf numFmtId="0" fontId="20" fillId="0" borderId="0" xfId="0" applyFont="1" applyFill="1" applyAlignment="1" applyProtection="1">
      <alignment horizontal="center"/>
    </xf>
    <xf numFmtId="0" fontId="9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center"/>
      <protection locked="0"/>
    </xf>
    <xf numFmtId="164" fontId="17" fillId="0" borderId="0" xfId="0" applyNumberFormat="1" applyFont="1" applyFill="1" applyBorder="1" applyAlignment="1" applyProtection="1">
      <alignment horizontal="center"/>
      <protection locked="0"/>
    </xf>
    <xf numFmtId="0" fontId="17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top"/>
    </xf>
    <xf numFmtId="0" fontId="18" fillId="0" borderId="15" xfId="0" applyFont="1" applyFill="1" applyBorder="1" applyAlignment="1" applyProtection="1">
      <alignment horizontal="center" vertical="center"/>
      <protection hidden="1"/>
    </xf>
    <xf numFmtId="44" fontId="11" fillId="0" borderId="1" xfId="1" applyFont="1" applyFill="1" applyBorder="1" applyAlignment="1" applyProtection="1">
      <protection hidden="1"/>
    </xf>
    <xf numFmtId="44" fontId="11" fillId="0" borderId="7" xfId="1" applyFont="1" applyFill="1" applyBorder="1" applyAlignment="1" applyProtection="1">
      <protection hidden="1"/>
    </xf>
    <xf numFmtId="44" fontId="11" fillId="0" borderId="8" xfId="1" applyFont="1" applyFill="1" applyBorder="1" applyAlignment="1" applyProtection="1">
      <protection hidden="1"/>
    </xf>
    <xf numFmtId="0" fontId="13" fillId="0" borderId="15" xfId="2" applyFont="1" applyFill="1" applyBorder="1" applyAlignment="1" applyProtection="1">
      <alignment horizontal="center" vertical="center" wrapText="1"/>
      <protection hidden="1"/>
    </xf>
    <xf numFmtId="0" fontId="13" fillId="0" borderId="14" xfId="2" applyFont="1" applyFill="1" applyBorder="1" applyAlignment="1" applyProtection="1">
      <alignment horizontal="center" vertical="center" wrapText="1"/>
      <protection hidden="1"/>
    </xf>
    <xf numFmtId="0" fontId="13" fillId="0" borderId="6" xfId="2" applyFont="1" applyFill="1" applyBorder="1" applyAlignment="1" applyProtection="1">
      <alignment horizontal="center" vertical="center" wrapText="1"/>
      <protection hidden="1"/>
    </xf>
    <xf numFmtId="0" fontId="13" fillId="0" borderId="12" xfId="2" applyFont="1" applyFill="1" applyBorder="1" applyAlignment="1" applyProtection="1">
      <alignment horizontal="center" vertical="center" wrapText="1"/>
      <protection hidden="1"/>
    </xf>
    <xf numFmtId="0" fontId="9" fillId="0" borderId="1" xfId="0" applyFont="1" applyFill="1" applyBorder="1" applyAlignment="1" applyProtection="1">
      <alignment horizontal="left" vertical="center" indent="2"/>
      <protection locked="0"/>
    </xf>
    <xf numFmtId="0" fontId="8" fillId="0" borderId="7" xfId="0" applyFont="1" applyFill="1" applyBorder="1" applyAlignment="1" applyProtection="1">
      <alignment horizontal="left" vertical="center" indent="2"/>
      <protection locked="0"/>
    </xf>
    <xf numFmtId="0" fontId="8" fillId="0" borderId="8" xfId="0" applyFont="1" applyFill="1" applyBorder="1" applyAlignment="1" applyProtection="1">
      <alignment horizontal="left" vertical="center" indent="2"/>
      <protection locked="0"/>
    </xf>
    <xf numFmtId="0" fontId="9" fillId="0" borderId="7" xfId="0" applyFont="1" applyFill="1" applyBorder="1" applyAlignment="1" applyProtection="1">
      <alignment horizontal="left" vertical="center" indent="2"/>
      <protection locked="0"/>
    </xf>
    <xf numFmtId="0" fontId="9" fillId="0" borderId="8" xfId="0" applyFont="1" applyFill="1" applyBorder="1" applyAlignment="1" applyProtection="1">
      <alignment horizontal="left" vertical="center" indent="2"/>
      <protection locked="0"/>
    </xf>
    <xf numFmtId="0" fontId="9" fillId="0" borderId="0" xfId="0" applyFont="1" applyFill="1" applyBorder="1" applyAlignment="1" applyProtection="1">
      <alignment horizontal="center"/>
    </xf>
    <xf numFmtId="0" fontId="9" fillId="0" borderId="9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1" xfId="0" applyNumberFormat="1" applyFont="1" applyFill="1" applyBorder="1" applyAlignment="1" applyProtection="1">
      <alignment horizontal="center" vertical="center"/>
      <protection locked="0"/>
    </xf>
    <xf numFmtId="44" fontId="9" fillId="0" borderId="9" xfId="1" applyFont="1" applyFill="1" applyBorder="1" applyAlignment="1" applyProtection="1">
      <alignment horizontal="center" vertical="center"/>
      <protection locked="0"/>
    </xf>
    <xf numFmtId="44" fontId="9" fillId="0" borderId="11" xfId="1" applyFont="1" applyFill="1" applyBorder="1" applyAlignment="1" applyProtection="1">
      <alignment horizontal="center" vertical="center"/>
      <protection locked="0"/>
    </xf>
    <xf numFmtId="0" fontId="11" fillId="0" borderId="1" xfId="0" applyNumberFormat="1" applyFont="1" applyFill="1" applyBorder="1" applyAlignment="1" applyProtection="1">
      <alignment horizontal="center"/>
      <protection hidden="1"/>
    </xf>
    <xf numFmtId="49" fontId="11" fillId="0" borderId="7" xfId="0" applyNumberFormat="1" applyFont="1" applyFill="1" applyBorder="1" applyAlignment="1" applyProtection="1">
      <alignment horizontal="center"/>
      <protection hidden="1"/>
    </xf>
    <xf numFmtId="49" fontId="11" fillId="0" borderId="8" xfId="0" applyNumberFormat="1" applyFont="1" applyFill="1" applyBorder="1" applyAlignment="1" applyProtection="1">
      <alignment horizontal="center"/>
      <protection hidden="1"/>
    </xf>
    <xf numFmtId="49" fontId="9" fillId="0" borderId="1" xfId="0" applyNumberFormat="1" applyFont="1" applyFill="1" applyBorder="1" applyAlignment="1" applyProtection="1">
      <alignment horizontal="left" vertical="center" indent="2"/>
      <protection locked="0"/>
    </xf>
    <xf numFmtId="49" fontId="8" fillId="0" borderId="7" xfId="0" applyNumberFormat="1" applyFont="1" applyFill="1" applyBorder="1" applyAlignment="1" applyProtection="1">
      <alignment horizontal="left" vertical="center" indent="2"/>
      <protection locked="0"/>
    </xf>
    <xf numFmtId="49" fontId="8" fillId="0" borderId="8" xfId="0" applyNumberFormat="1" applyFont="1" applyFill="1" applyBorder="1" applyAlignment="1" applyProtection="1">
      <alignment horizontal="left" vertical="center" indent="2"/>
      <protection locked="0"/>
    </xf>
    <xf numFmtId="0" fontId="8" fillId="0" borderId="1" xfId="0" applyFont="1" applyFill="1" applyBorder="1" applyAlignment="1" applyProtection="1">
      <alignment horizontal="center" vertical="top"/>
      <protection locked="0"/>
    </xf>
    <xf numFmtId="0" fontId="8" fillId="0" borderId="7" xfId="0" applyFont="1" applyFill="1" applyBorder="1" applyAlignment="1" applyProtection="1">
      <alignment horizontal="center" vertical="top"/>
      <protection locked="0"/>
    </xf>
    <xf numFmtId="0" fontId="8" fillId="0" borderId="8" xfId="0" applyFont="1" applyFill="1" applyBorder="1" applyAlignment="1" applyProtection="1">
      <alignment horizontal="center" vertical="top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7" xfId="0" applyFont="1" applyFill="1" applyBorder="1" applyAlignment="1" applyProtection="1">
      <alignment horizontal="center" vertical="center"/>
      <protection locked="0"/>
    </xf>
    <xf numFmtId="0" fontId="8" fillId="0" borderId="8" xfId="0" applyFont="1" applyFill="1" applyBorder="1" applyAlignment="1" applyProtection="1">
      <alignment horizontal="center" vertical="center"/>
      <protection locked="0"/>
    </xf>
    <xf numFmtId="164" fontId="9" fillId="0" borderId="1" xfId="0" applyNumberFormat="1" applyFont="1" applyFill="1" applyBorder="1" applyAlignment="1" applyProtection="1">
      <alignment horizontal="left" vertical="center" indent="2"/>
      <protection locked="0"/>
    </xf>
    <xf numFmtId="164" fontId="8" fillId="0" borderId="7" xfId="0" applyNumberFormat="1" applyFont="1" applyFill="1" applyBorder="1" applyAlignment="1" applyProtection="1">
      <alignment horizontal="left" vertical="center" indent="2"/>
      <protection locked="0"/>
    </xf>
    <xf numFmtId="164" fontId="8" fillId="0" borderId="8" xfId="0" applyNumberFormat="1" applyFont="1" applyFill="1" applyBorder="1" applyAlignment="1" applyProtection="1">
      <alignment horizontal="left" vertical="center" indent="2"/>
      <protection locked="0"/>
    </xf>
    <xf numFmtId="14" fontId="8" fillId="0" borderId="1" xfId="0" applyNumberFormat="1" applyFont="1" applyFill="1" applyBorder="1" applyAlignment="1" applyProtection="1">
      <alignment horizontal="center" vertical="center"/>
      <protection locked="0"/>
    </xf>
    <xf numFmtId="14" fontId="8" fillId="0" borderId="8" xfId="0" applyNumberFormat="1" applyFont="1" applyFill="1" applyBorder="1" applyAlignment="1" applyProtection="1">
      <alignment horizontal="center" vertical="center"/>
      <protection locked="0"/>
    </xf>
    <xf numFmtId="49" fontId="12" fillId="0" borderId="0" xfId="2" applyNumberFormat="1" applyFont="1" applyFill="1" applyBorder="1" applyAlignment="1" applyProtection="1">
      <alignment horizontal="left" vertical="center" indent="2"/>
    </xf>
    <xf numFmtId="0" fontId="9" fillId="0" borderId="1" xfId="0" applyFont="1" applyFill="1" applyBorder="1" applyAlignment="1" applyProtection="1">
      <alignment horizontal="right" vertical="center" indent="1"/>
    </xf>
    <xf numFmtId="0" fontId="9" fillId="0" borderId="8" xfId="0" applyFont="1" applyFill="1" applyBorder="1" applyAlignment="1" applyProtection="1">
      <alignment horizontal="right" vertical="center" indent="1"/>
    </xf>
    <xf numFmtId="0" fontId="15" fillId="0" borderId="0" xfId="0" applyFont="1" applyFill="1" applyBorder="1" applyAlignment="1" applyProtection="1">
      <alignment horizontal="center"/>
      <protection hidden="1"/>
    </xf>
    <xf numFmtId="44" fontId="9" fillId="0" borderId="1" xfId="1" applyFont="1" applyFill="1" applyBorder="1" applyAlignment="1" applyProtection="1">
      <alignment vertical="center"/>
      <protection locked="0"/>
    </xf>
    <xf numFmtId="44" fontId="9" fillId="0" borderId="7" xfId="1" applyFont="1" applyFill="1" applyBorder="1" applyAlignment="1" applyProtection="1">
      <alignment vertical="center"/>
      <protection locked="0"/>
    </xf>
    <xf numFmtId="44" fontId="9" fillId="0" borderId="8" xfId="1" applyFont="1" applyFill="1" applyBorder="1" applyAlignment="1" applyProtection="1">
      <alignment vertical="center"/>
      <protection locked="0"/>
    </xf>
    <xf numFmtId="44" fontId="9" fillId="0" borderId="13" xfId="1" applyFont="1" applyFill="1" applyBorder="1" applyAlignment="1" applyProtection="1">
      <alignment vertical="center"/>
      <protection locked="0"/>
    </xf>
    <xf numFmtId="44" fontId="9" fillId="0" borderId="15" xfId="1" applyFont="1" applyFill="1" applyBorder="1" applyAlignment="1" applyProtection="1">
      <alignment vertical="center"/>
      <protection locked="0"/>
    </xf>
    <xf numFmtId="44" fontId="9" fillId="0" borderId="14" xfId="1" applyFont="1" applyFill="1" applyBorder="1" applyAlignment="1" applyProtection="1">
      <alignment vertical="center"/>
      <protection locked="0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10">
    <dxf>
      <fill>
        <patternFill>
          <bgColor theme="3" tint="0.5999633777886288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cfbrokerloans.com/" TargetMode="External"/><Relationship Id="rId1" Type="http://schemas.openxmlformats.org/officeDocument/2006/relationships/hyperlink" Target="http://tcfbrokerloans.com/660_TCF_RLU_Pricing_Guid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60"/>
  <sheetViews>
    <sheetView showGridLines="0" showRowColHeaders="0" tabSelected="1" view="pageLayout" zoomScaleNormal="100" workbookViewId="0">
      <selection activeCell="C2" sqref="C2:G2"/>
    </sheetView>
  </sheetViews>
  <sheetFormatPr defaultColWidth="0" defaultRowHeight="15" zeroHeight="1" x14ac:dyDescent="0.25"/>
  <cols>
    <col min="1" max="1" width="2" style="1" customWidth="1"/>
    <col min="2" max="2" width="36.42578125" style="1" customWidth="1"/>
    <col min="3" max="3" width="14.28515625" style="1" customWidth="1"/>
    <col min="4" max="4" width="1.42578125" style="1" customWidth="1"/>
    <col min="5" max="5" width="14.28515625" style="1" customWidth="1"/>
    <col min="6" max="6" width="15.28515625" style="1" customWidth="1"/>
    <col min="7" max="7" width="15" style="20" customWidth="1"/>
    <col min="8" max="8" width="2" style="1" customWidth="1"/>
    <col min="9" max="14" width="13.28515625" style="1" hidden="1" customWidth="1"/>
    <col min="15" max="16384" width="9.140625" style="1" hidden="1"/>
  </cols>
  <sheetData>
    <row r="1" spans="2:15" ht="11.25" customHeight="1" thickBot="1" x14ac:dyDescent="0.3">
      <c r="I1" s="5"/>
      <c r="J1" s="5"/>
    </row>
    <row r="2" spans="2:15" ht="15" customHeight="1" thickBot="1" x14ac:dyDescent="0.3">
      <c r="B2" s="28" t="s">
        <v>83</v>
      </c>
      <c r="C2" s="96" t="s">
        <v>87</v>
      </c>
      <c r="D2" s="97"/>
      <c r="E2" s="97"/>
      <c r="F2" s="97"/>
      <c r="G2" s="98"/>
      <c r="H2" s="6"/>
      <c r="I2" s="6"/>
      <c r="J2" s="6"/>
    </row>
    <row r="3" spans="2:15" ht="15" customHeight="1" thickBot="1" x14ac:dyDescent="0.3">
      <c r="B3" s="28" t="s">
        <v>84</v>
      </c>
      <c r="C3" s="96"/>
      <c r="D3" s="97"/>
      <c r="E3" s="97"/>
      <c r="F3" s="97"/>
      <c r="G3" s="98"/>
      <c r="H3" s="6"/>
      <c r="I3" s="6"/>
      <c r="J3" s="6"/>
    </row>
    <row r="4" spans="2:15" ht="15" customHeight="1" thickBot="1" x14ac:dyDescent="0.3">
      <c r="B4" s="29" t="s">
        <v>43</v>
      </c>
      <c r="C4" s="96" t="s">
        <v>119</v>
      </c>
      <c r="D4" s="99"/>
      <c r="E4" s="99"/>
      <c r="F4" s="99"/>
      <c r="G4" s="100"/>
      <c r="M4" s="16" t="s">
        <v>44</v>
      </c>
    </row>
    <row r="5" spans="2:15" ht="15" customHeight="1" thickBot="1" x14ac:dyDescent="0.3">
      <c r="B5" s="28" t="s">
        <v>0</v>
      </c>
      <c r="C5" s="96"/>
      <c r="D5" s="97"/>
      <c r="E5" s="97"/>
      <c r="F5" s="97"/>
      <c r="G5" s="98"/>
      <c r="M5" s="72" t="s">
        <v>119</v>
      </c>
    </row>
    <row r="6" spans="2:15" ht="15" customHeight="1" thickBot="1" x14ac:dyDescent="0.3">
      <c r="B6" s="28" t="s">
        <v>27</v>
      </c>
      <c r="C6" s="96"/>
      <c r="D6" s="99"/>
      <c r="E6" s="99"/>
      <c r="F6" s="99"/>
      <c r="G6" s="100"/>
      <c r="M6" s="22" t="s">
        <v>45</v>
      </c>
    </row>
    <row r="7" spans="2:15" ht="15" customHeight="1" thickBot="1" x14ac:dyDescent="0.3">
      <c r="B7" s="28" t="s">
        <v>10</v>
      </c>
      <c r="C7" s="119"/>
      <c r="D7" s="120"/>
      <c r="E7" s="120"/>
      <c r="F7" s="120"/>
      <c r="G7" s="121"/>
      <c r="M7" s="17" t="s">
        <v>46</v>
      </c>
      <c r="N7" s="1" t="s">
        <v>114</v>
      </c>
    </row>
    <row r="8" spans="2:15" ht="15" customHeight="1" thickBot="1" x14ac:dyDescent="0.3">
      <c r="B8" s="28" t="s">
        <v>11</v>
      </c>
      <c r="C8" s="110"/>
      <c r="D8" s="111"/>
      <c r="E8" s="111"/>
      <c r="F8" s="111"/>
      <c r="G8" s="112"/>
      <c r="M8" s="22" t="s">
        <v>47</v>
      </c>
      <c r="N8" s="69">
        <v>3.5000000000000003E-2</v>
      </c>
    </row>
    <row r="9" spans="2:15" ht="7.5" customHeight="1" thickBot="1" x14ac:dyDescent="0.3">
      <c r="B9" s="30"/>
      <c r="C9" s="124"/>
      <c r="D9" s="124"/>
      <c r="E9" s="124"/>
      <c r="F9" s="124"/>
      <c r="G9" s="124"/>
      <c r="J9" s="1" t="s">
        <v>39</v>
      </c>
      <c r="K9" s="1" t="s">
        <v>29</v>
      </c>
      <c r="M9" s="22" t="s">
        <v>48</v>
      </c>
    </row>
    <row r="10" spans="2:15" ht="15" customHeight="1" thickBot="1" x14ac:dyDescent="0.3">
      <c r="B10" s="28" t="s">
        <v>1</v>
      </c>
      <c r="C10" s="96"/>
      <c r="D10" s="97"/>
      <c r="E10" s="97"/>
      <c r="F10" s="97"/>
      <c r="G10" s="98"/>
      <c r="J10" s="1">
        <f>MIN(I14:J14)</f>
        <v>0</v>
      </c>
      <c r="K10" s="1">
        <f>MIN(K14,I14)</f>
        <v>0</v>
      </c>
      <c r="M10" s="22" t="s">
        <v>49</v>
      </c>
      <c r="N10" s="1" t="s">
        <v>115</v>
      </c>
      <c r="O10" s="69">
        <v>9.9000000000000008E-3</v>
      </c>
    </row>
    <row r="11" spans="2:15" ht="15" customHeight="1" thickBot="1" x14ac:dyDescent="0.3">
      <c r="B11" s="28" t="s">
        <v>12</v>
      </c>
      <c r="C11" s="119"/>
      <c r="D11" s="120"/>
      <c r="E11" s="120"/>
      <c r="F11" s="120"/>
      <c r="G11" s="121"/>
      <c r="M11" s="22" t="s">
        <v>78</v>
      </c>
      <c r="N11" s="1" t="s">
        <v>116</v>
      </c>
      <c r="O11" s="69">
        <v>1.49E-2</v>
      </c>
    </row>
    <row r="12" spans="2:15" ht="15" customHeight="1" thickBot="1" x14ac:dyDescent="0.3">
      <c r="B12" s="28" t="s">
        <v>13</v>
      </c>
      <c r="C12" s="110"/>
      <c r="D12" s="111"/>
      <c r="E12" s="111"/>
      <c r="F12" s="111"/>
      <c r="G12" s="112"/>
      <c r="M12" s="22" t="s">
        <v>90</v>
      </c>
      <c r="N12" s="1" t="s">
        <v>117</v>
      </c>
      <c r="O12" s="69">
        <v>1.9900000000000001E-2</v>
      </c>
    </row>
    <row r="13" spans="2:15" ht="15" customHeight="1" thickBot="1" x14ac:dyDescent="0.3">
      <c r="B13" s="7"/>
      <c r="C13" s="7"/>
      <c r="D13" s="7"/>
      <c r="E13" s="7"/>
      <c r="F13" s="7"/>
      <c r="G13" s="21"/>
      <c r="M13" s="22" t="s">
        <v>88</v>
      </c>
    </row>
    <row r="14" spans="2:15" ht="15" hidden="1" customHeight="1" thickBot="1" x14ac:dyDescent="0.3">
      <c r="B14" s="8" t="s">
        <v>94</v>
      </c>
      <c r="C14" s="116" t="s">
        <v>105</v>
      </c>
      <c r="D14" s="117"/>
      <c r="E14" s="118"/>
      <c r="I14" s="1">
        <f>IF(C14="Purchase",C33*0.8999,IF(C16="Condo",C33*0.8499,C33*0.8999))</f>
        <v>0</v>
      </c>
      <c r="J14" s="1">
        <v>700000</v>
      </c>
      <c r="K14" s="1">
        <v>750000</v>
      </c>
      <c r="M14" s="18" t="s">
        <v>85</v>
      </c>
    </row>
    <row r="15" spans="2:15" ht="11.25" hidden="1" customHeight="1" thickBot="1" x14ac:dyDescent="0.3">
      <c r="B15" s="101"/>
      <c r="C15" s="101"/>
      <c r="D15" s="101"/>
      <c r="E15" s="101"/>
      <c r="F15" s="101"/>
      <c r="G15" s="101"/>
      <c r="M15" s="22" t="s">
        <v>50</v>
      </c>
    </row>
    <row r="16" spans="2:15" ht="15" customHeight="1" thickBot="1" x14ac:dyDescent="0.3">
      <c r="B16" s="63" t="s">
        <v>110</v>
      </c>
      <c r="C16" s="113" t="s">
        <v>105</v>
      </c>
      <c r="D16" s="114"/>
      <c r="E16" s="115"/>
      <c r="J16" s="1" t="s">
        <v>28</v>
      </c>
      <c r="L16" s="1" t="s">
        <v>32</v>
      </c>
      <c r="M16" s="22" t="s">
        <v>51</v>
      </c>
    </row>
    <row r="17" spans="1:13" ht="17.25" hidden="1" customHeight="1" x14ac:dyDescent="0.25">
      <c r="B17" s="2"/>
      <c r="C17" s="2"/>
      <c r="D17" s="2"/>
      <c r="E17" s="2"/>
      <c r="F17" s="2"/>
      <c r="G17" s="2"/>
      <c r="J17" s="1" t="s">
        <v>105</v>
      </c>
      <c r="L17" s="1" t="s">
        <v>105</v>
      </c>
      <c r="M17" s="22" t="s">
        <v>52</v>
      </c>
    </row>
    <row r="18" spans="1:13" ht="17.25" hidden="1" customHeight="1" x14ac:dyDescent="0.25">
      <c r="B18" s="19" t="s">
        <v>25</v>
      </c>
      <c r="C18" s="15"/>
      <c r="D18" s="9"/>
      <c r="E18" s="9"/>
      <c r="J18" s="1" t="s">
        <v>29</v>
      </c>
      <c r="L18" s="1" t="s">
        <v>95</v>
      </c>
      <c r="M18" s="22" t="s">
        <v>53</v>
      </c>
    </row>
    <row r="19" spans="1:13" ht="11.25" customHeight="1" thickBot="1" x14ac:dyDescent="0.3">
      <c r="B19" s="27"/>
      <c r="C19" s="27"/>
      <c r="D19" s="27"/>
      <c r="E19" s="27"/>
      <c r="F19" s="27"/>
      <c r="G19" s="27"/>
      <c r="J19" s="1" t="s">
        <v>30</v>
      </c>
      <c r="L19" s="1" t="s">
        <v>96</v>
      </c>
      <c r="M19" s="22" t="s">
        <v>54</v>
      </c>
    </row>
    <row r="20" spans="1:13" ht="15" customHeight="1" thickBot="1" x14ac:dyDescent="0.3">
      <c r="B20" s="32" t="s">
        <v>23</v>
      </c>
      <c r="C20" s="122"/>
      <c r="D20" s="123"/>
      <c r="E20" s="125" t="s">
        <v>42</v>
      </c>
      <c r="F20" s="126"/>
      <c r="G20" s="31"/>
      <c r="J20" s="1" t="s">
        <v>31</v>
      </c>
      <c r="M20" s="22" t="s">
        <v>55</v>
      </c>
    </row>
    <row r="21" spans="1:13" ht="15" customHeight="1" x14ac:dyDescent="0.25">
      <c r="M21" s="22" t="s">
        <v>56</v>
      </c>
    </row>
    <row r="22" spans="1:13" ht="15" customHeight="1" x14ac:dyDescent="0.25">
      <c r="B22" s="101" t="s">
        <v>41</v>
      </c>
      <c r="C22" s="101"/>
      <c r="D22" s="101"/>
      <c r="E22" s="101"/>
      <c r="F22" s="101"/>
      <c r="G22" s="101"/>
      <c r="H22" s="2"/>
      <c r="J22" s="1" t="s">
        <v>97</v>
      </c>
      <c r="K22" s="1" t="s">
        <v>98</v>
      </c>
      <c r="M22" s="22" t="s">
        <v>57</v>
      </c>
    </row>
    <row r="23" spans="1:13" ht="15" customHeight="1" thickBot="1" x14ac:dyDescent="0.3">
      <c r="B23" s="74" t="s">
        <v>22</v>
      </c>
      <c r="C23" s="101" t="s">
        <v>36</v>
      </c>
      <c r="D23" s="101"/>
      <c r="E23" s="101"/>
      <c r="F23" s="101" t="s">
        <v>33</v>
      </c>
      <c r="G23" s="101"/>
      <c r="H23" s="2"/>
      <c r="J23" s="1">
        <f>MAX(F24:G25)</f>
        <v>0</v>
      </c>
      <c r="K23" s="1">
        <f>IF(J23=F24,C24,C25)</f>
        <v>0</v>
      </c>
      <c r="M23" s="22" t="s">
        <v>58</v>
      </c>
    </row>
    <row r="24" spans="1:13" ht="15" customHeight="1" thickBot="1" x14ac:dyDescent="0.3">
      <c r="B24" s="3" t="s">
        <v>38</v>
      </c>
      <c r="C24" s="102"/>
      <c r="D24" s="103"/>
      <c r="E24" s="104"/>
      <c r="F24" s="105"/>
      <c r="G24" s="106"/>
      <c r="H24" s="10"/>
      <c r="M24" s="22" t="s">
        <v>59</v>
      </c>
    </row>
    <row r="25" spans="1:13" ht="15" customHeight="1" thickBot="1" x14ac:dyDescent="0.3">
      <c r="B25" s="3" t="s">
        <v>37</v>
      </c>
      <c r="C25" s="102"/>
      <c r="D25" s="103"/>
      <c r="E25" s="104"/>
      <c r="F25" s="105"/>
      <c r="G25" s="106"/>
      <c r="H25" s="10"/>
      <c r="I25" s="79" t="s">
        <v>99</v>
      </c>
      <c r="J25" s="79"/>
      <c r="K25" s="79"/>
      <c r="L25" s="80"/>
      <c r="M25" s="22" t="s">
        <v>60</v>
      </c>
    </row>
    <row r="26" spans="1:13" ht="15" customHeight="1" thickBot="1" x14ac:dyDescent="0.3">
      <c r="A26" s="36"/>
      <c r="B26" s="38" t="s">
        <v>24</v>
      </c>
      <c r="C26" s="107">
        <f>K23</f>
        <v>0</v>
      </c>
      <c r="D26" s="108"/>
      <c r="E26" s="109"/>
      <c r="F26" s="36"/>
      <c r="G26" s="39"/>
      <c r="H26" s="36"/>
      <c r="I26" s="1" t="s">
        <v>81</v>
      </c>
      <c r="J26" s="7">
        <f>IF($C$33&lt;$L$29/0.8999,($C$33*0.8999)-$C$34,$L$29-$C$34)</f>
        <v>0</v>
      </c>
      <c r="K26" s="24" t="s">
        <v>100</v>
      </c>
      <c r="L26" s="71">
        <v>5000</v>
      </c>
      <c r="M26" s="22" t="s">
        <v>61</v>
      </c>
    </row>
    <row r="27" spans="1:13" ht="21" x14ac:dyDescent="0.35">
      <c r="A27" s="36"/>
      <c r="B27" s="127" t="str">
        <f>IF(AND(C24="",C25=""),"Enter FICO Scores to Continue",IF(C16="(Select)","Enter Residence Type",IF(C16="Primary",I33,I43)))</f>
        <v>Enter FICO Scores to Continue</v>
      </c>
      <c r="C27" s="127"/>
      <c r="D27" s="127"/>
      <c r="E27" s="127"/>
      <c r="F27" s="127"/>
      <c r="G27" s="127"/>
      <c r="H27" s="36"/>
      <c r="I27" s="1" t="s">
        <v>91</v>
      </c>
      <c r="J27" s="7">
        <f>IF($C$33&gt;1666851.88,1500000-$C$34,($C$33*0.8999)-$C$34)</f>
        <v>0</v>
      </c>
      <c r="K27" s="24" t="s">
        <v>101</v>
      </c>
      <c r="L27" s="71">
        <v>350000</v>
      </c>
      <c r="M27" s="22" t="s">
        <v>62</v>
      </c>
    </row>
    <row r="28" spans="1:13" ht="17.25" customHeight="1" x14ac:dyDescent="0.25">
      <c r="A28" s="36"/>
      <c r="B28" s="83" t="s">
        <v>109</v>
      </c>
      <c r="C28" s="83"/>
      <c r="D28" s="83"/>
      <c r="E28" s="83"/>
      <c r="F28" s="83"/>
      <c r="G28" s="83"/>
      <c r="H28" s="40"/>
      <c r="J28" s="7"/>
      <c r="M28" s="76" t="s">
        <v>120</v>
      </c>
    </row>
    <row r="29" spans="1:13" ht="17.25" customHeight="1" x14ac:dyDescent="0.25">
      <c r="A29" s="36"/>
      <c r="B29" s="83" t="s">
        <v>113</v>
      </c>
      <c r="C29" s="83"/>
      <c r="D29" s="83"/>
      <c r="E29" s="83"/>
      <c r="F29" s="83"/>
      <c r="G29" s="83"/>
      <c r="H29" s="41"/>
      <c r="I29" s="1" t="s">
        <v>102</v>
      </c>
      <c r="J29" s="13">
        <f>IF(C26&gt;=730,J27,IF(C26&gt;=700,J26,J27))</f>
        <v>0</v>
      </c>
      <c r="K29" s="1" t="s">
        <v>118</v>
      </c>
      <c r="L29" s="70">
        <v>750000</v>
      </c>
      <c r="M29" s="22" t="s">
        <v>63</v>
      </c>
    </row>
    <row r="30" spans="1:13" ht="17.25" customHeight="1" x14ac:dyDescent="0.25">
      <c r="A30" s="36"/>
      <c r="B30" s="83" t="s">
        <v>107</v>
      </c>
      <c r="C30" s="83"/>
      <c r="D30" s="83"/>
      <c r="E30" s="83"/>
      <c r="F30" s="83"/>
      <c r="G30" s="83"/>
      <c r="H30" s="40"/>
      <c r="I30" s="1" t="s">
        <v>103</v>
      </c>
      <c r="J30" s="7">
        <f>IF(J29&lt;L26,0,IF(J29&gt;L27,L27,J29))</f>
        <v>0</v>
      </c>
      <c r="K30" s="1" t="s">
        <v>118</v>
      </c>
      <c r="L30" s="70">
        <v>1500000</v>
      </c>
      <c r="M30" s="22" t="s">
        <v>64</v>
      </c>
    </row>
    <row r="31" spans="1:13" ht="7.5" customHeight="1" x14ac:dyDescent="0.25">
      <c r="A31" s="36"/>
      <c r="B31" s="41"/>
      <c r="C31" s="41"/>
      <c r="D31" s="41"/>
      <c r="E31" s="41"/>
      <c r="F31" s="41"/>
      <c r="G31" s="41"/>
      <c r="H31" s="36"/>
      <c r="M31" s="22" t="s">
        <v>65</v>
      </c>
    </row>
    <row r="32" spans="1:13" ht="15.75" thickBot="1" x14ac:dyDescent="0.3">
      <c r="A32" s="36"/>
      <c r="B32" s="75" t="s">
        <v>6</v>
      </c>
      <c r="C32" s="36"/>
      <c r="D32" s="36"/>
      <c r="E32" s="36"/>
      <c r="F32" s="36"/>
      <c r="G32" s="39"/>
      <c r="H32" s="36"/>
      <c r="I32" s="11" t="s">
        <v>104</v>
      </c>
      <c r="K32" s="7"/>
      <c r="L32" s="7"/>
      <c r="M32" s="22" t="s">
        <v>66</v>
      </c>
    </row>
    <row r="33" spans="1:13" ht="15" customHeight="1" thickBot="1" x14ac:dyDescent="0.3">
      <c r="A33" s="36"/>
      <c r="B33" s="38" t="s">
        <v>2</v>
      </c>
      <c r="C33" s="128">
        <v>0</v>
      </c>
      <c r="D33" s="129"/>
      <c r="E33" s="130"/>
      <c r="F33" s="36"/>
      <c r="G33" s="39"/>
      <c r="I33" s="1" t="str">
        <f>IF(AND(C4="CA",C26&lt;720),"Highest income FICO must be 720 or greater",IF(C26&lt;700,"Highest income FICO must be 700 or greater",IF(AND(C26&lt;730,(C34+C35)&gt;750000),"Highest income FICO must be 700 or greater","")))</f>
        <v>Highest income FICO must be 700 or greater</v>
      </c>
      <c r="K33" s="7"/>
      <c r="L33" s="7"/>
      <c r="M33" s="22" t="s">
        <v>67</v>
      </c>
    </row>
    <row r="34" spans="1:13" ht="15" customHeight="1" thickBot="1" x14ac:dyDescent="0.3">
      <c r="A34" s="36"/>
      <c r="B34" s="38" t="s">
        <v>7</v>
      </c>
      <c r="C34" s="128">
        <v>0</v>
      </c>
      <c r="D34" s="129"/>
      <c r="E34" s="130"/>
      <c r="F34" s="42" t="s">
        <v>3</v>
      </c>
      <c r="G34" s="43">
        <f>IF(C33=0,0,C34/C33)</f>
        <v>0</v>
      </c>
      <c r="I34" s="11"/>
      <c r="M34" s="23" t="s">
        <v>92</v>
      </c>
    </row>
    <row r="35" spans="1:13" ht="15" customHeight="1" thickBot="1" x14ac:dyDescent="0.3">
      <c r="A35" s="36"/>
      <c r="B35" s="44" t="s">
        <v>8</v>
      </c>
      <c r="C35" s="131">
        <v>0</v>
      </c>
      <c r="D35" s="132"/>
      <c r="E35" s="133"/>
      <c r="F35" s="42" t="s">
        <v>4</v>
      </c>
      <c r="G35" s="43">
        <f>IF(C33=0,0,(C35+C34)/C33)</f>
        <v>0</v>
      </c>
      <c r="K35" s="13"/>
      <c r="L35" s="14"/>
      <c r="M35" s="22" t="s">
        <v>89</v>
      </c>
    </row>
    <row r="36" spans="1:13" ht="15" customHeight="1" thickBot="1" x14ac:dyDescent="0.3">
      <c r="A36" s="36"/>
      <c r="B36" s="44" t="s">
        <v>9</v>
      </c>
      <c r="C36" s="128">
        <v>0</v>
      </c>
      <c r="D36" s="129"/>
      <c r="E36" s="130"/>
      <c r="F36" s="41"/>
      <c r="G36" s="45"/>
      <c r="H36" s="12"/>
      <c r="M36" s="22" t="s">
        <v>68</v>
      </c>
    </row>
    <row r="37" spans="1:13" ht="15" customHeight="1" thickBot="1" x14ac:dyDescent="0.3">
      <c r="A37" s="36"/>
      <c r="B37" s="38" t="s">
        <v>40</v>
      </c>
      <c r="C37" s="89">
        <f>IF($B$27&lt;&gt;"",0,IF($C$16="Primary",$J$30,IF($C$16="Secondary (Owner Occ.)",$J$40,0)))</f>
        <v>0</v>
      </c>
      <c r="D37" s="90"/>
      <c r="E37" s="91"/>
      <c r="F37" s="46"/>
      <c r="G37" s="47"/>
      <c r="H37" s="4"/>
      <c r="I37" s="79" t="s">
        <v>106</v>
      </c>
      <c r="J37" s="79"/>
      <c r="K37" s="79"/>
      <c r="L37" s="80"/>
      <c r="M37" s="22" t="s">
        <v>69</v>
      </c>
    </row>
    <row r="38" spans="1:13" ht="21" x14ac:dyDescent="0.35">
      <c r="A38" s="36"/>
      <c r="B38" s="127" t="str">
        <f>IF(B27&lt;&gt;"","FICO Below Guidelines",IF(C36&gt;C37,"Disbursements exceed total line allowed",IF(C37&lt;C35,"Line requested exceeds total line allowed","")))</f>
        <v>FICO Below Guidelines</v>
      </c>
      <c r="C38" s="127"/>
      <c r="D38" s="127"/>
      <c r="E38" s="127"/>
      <c r="F38" s="127"/>
      <c r="G38" s="127"/>
      <c r="I38" s="1" t="s">
        <v>91</v>
      </c>
      <c r="J38" s="7">
        <f>IF($C$33&gt;$L$42/0.85,$L$42-$C$34,($C$33*0.85)-$C$34)</f>
        <v>0</v>
      </c>
      <c r="K38" s="24" t="s">
        <v>100</v>
      </c>
      <c r="L38" s="71">
        <v>5000</v>
      </c>
      <c r="M38" s="22" t="s">
        <v>70</v>
      </c>
    </row>
    <row r="39" spans="1:13" ht="7.5" customHeight="1" x14ac:dyDescent="0.25">
      <c r="A39" s="36"/>
      <c r="B39" s="36"/>
      <c r="C39" s="36"/>
      <c r="D39" s="36"/>
      <c r="E39" s="36"/>
      <c r="F39" s="36"/>
      <c r="G39" s="39"/>
      <c r="K39" s="24" t="s">
        <v>101</v>
      </c>
      <c r="L39" s="71">
        <v>250000</v>
      </c>
      <c r="M39" s="26" t="s">
        <v>93</v>
      </c>
    </row>
    <row r="40" spans="1:13" ht="30.75" thickBot="1" x14ac:dyDescent="0.3">
      <c r="A40" s="36"/>
      <c r="B40" s="73" t="s">
        <v>5</v>
      </c>
      <c r="C40" s="66" t="s">
        <v>111</v>
      </c>
      <c r="D40" s="41"/>
      <c r="E40" s="66" t="s">
        <v>112</v>
      </c>
      <c r="F40" s="41"/>
      <c r="G40" s="48"/>
      <c r="H40" s="4"/>
      <c r="I40" s="1" t="s">
        <v>102</v>
      </c>
      <c r="J40" s="7">
        <f>IF(J38&lt;L38,0,IF(J38&gt;L39,L39,J38))</f>
        <v>0</v>
      </c>
      <c r="M40" s="22" t="s">
        <v>71</v>
      </c>
    </row>
    <row r="41" spans="1:13" ht="15" customHeight="1" thickBot="1" x14ac:dyDescent="0.3">
      <c r="A41" s="36"/>
      <c r="B41" s="38" t="s">
        <v>14</v>
      </c>
      <c r="C41" s="33">
        <v>0</v>
      </c>
      <c r="D41" s="49"/>
      <c r="E41" s="33">
        <v>0</v>
      </c>
      <c r="F41" s="36"/>
      <c r="G41" s="39"/>
      <c r="K41" s="1" t="s">
        <v>118</v>
      </c>
      <c r="L41" s="70">
        <v>750000</v>
      </c>
      <c r="M41" s="17" t="s">
        <v>72</v>
      </c>
    </row>
    <row r="42" spans="1:13" ht="15" customHeight="1" thickBot="1" x14ac:dyDescent="0.3">
      <c r="A42" s="36"/>
      <c r="B42" s="38" t="s">
        <v>15</v>
      </c>
      <c r="C42" s="64">
        <f>IF($C$16="Primary",-PMT($G$42/12,360,$C$35),0)</f>
        <v>0</v>
      </c>
      <c r="D42" s="65"/>
      <c r="E42" s="64">
        <f>IF($C$16="Secondary (Owner Occ.)",-PMT($G$42/12,360,$C$35),0)</f>
        <v>0</v>
      </c>
      <c r="F42" s="51" t="s">
        <v>21</v>
      </c>
      <c r="G42" s="52">
        <f>IF(G35=0,0,IF(G35&lt;=0.7,$N$8+$O$10,IF(G35&lt;=0.8,$N$8+$O$11,$N$8+$O$12)))</f>
        <v>0</v>
      </c>
      <c r="I42" s="11" t="s">
        <v>104</v>
      </c>
      <c r="K42" s="1" t="s">
        <v>118</v>
      </c>
      <c r="L42" s="70">
        <v>1275000</v>
      </c>
      <c r="M42" s="22" t="s">
        <v>73</v>
      </c>
    </row>
    <row r="43" spans="1:13" ht="15" customHeight="1" thickBot="1" x14ac:dyDescent="0.3">
      <c r="A43" s="36"/>
      <c r="B43" s="38" t="s">
        <v>26</v>
      </c>
      <c r="C43" s="64">
        <f>IF($C$16="Primary",$C$35*0.0018,0)</f>
        <v>0</v>
      </c>
      <c r="D43" s="65"/>
      <c r="E43" s="64">
        <f>IF($C$16="Secondary (Owner Occ.)",$C$35*0.0018,0)</f>
        <v>0</v>
      </c>
      <c r="F43" s="92" t="s">
        <v>82</v>
      </c>
      <c r="G43" s="93"/>
      <c r="I43" s="1" t="str">
        <f>IF(C26&lt;730,"Highest income FICO must be 730 or greater","")</f>
        <v>Highest income FICO must be 730 or greater</v>
      </c>
      <c r="M43" s="22" t="s">
        <v>74</v>
      </c>
    </row>
    <row r="44" spans="1:13" ht="15" customHeight="1" thickBot="1" x14ac:dyDescent="0.3">
      <c r="A44" s="36"/>
      <c r="B44" s="38" t="s">
        <v>18</v>
      </c>
      <c r="C44" s="33">
        <v>0</v>
      </c>
      <c r="D44" s="53"/>
      <c r="E44" s="33">
        <v>0</v>
      </c>
      <c r="F44" s="94"/>
      <c r="G44" s="95"/>
      <c r="I44" s="11"/>
      <c r="M44" s="22" t="s">
        <v>75</v>
      </c>
    </row>
    <row r="45" spans="1:13" ht="15" customHeight="1" thickBot="1" x14ac:dyDescent="0.3">
      <c r="A45" s="36"/>
      <c r="B45" s="38" t="s">
        <v>19</v>
      </c>
      <c r="C45" s="33">
        <v>0</v>
      </c>
      <c r="D45" s="53"/>
      <c r="E45" s="33">
        <v>0</v>
      </c>
      <c r="F45" s="54"/>
      <c r="G45" s="55"/>
      <c r="M45" s="22" t="s">
        <v>76</v>
      </c>
    </row>
    <row r="46" spans="1:13" ht="15" customHeight="1" thickBot="1" x14ac:dyDescent="0.3">
      <c r="A46" s="36"/>
      <c r="B46" s="38" t="s">
        <v>20</v>
      </c>
      <c r="C46" s="33">
        <v>0</v>
      </c>
      <c r="D46" s="53"/>
      <c r="E46" s="33">
        <v>0</v>
      </c>
      <c r="F46" s="56"/>
      <c r="G46" s="57"/>
      <c r="M46" s="22" t="s">
        <v>77</v>
      </c>
    </row>
    <row r="47" spans="1:13" ht="15" customHeight="1" thickBot="1" x14ac:dyDescent="0.3">
      <c r="A47" s="36"/>
      <c r="B47" s="38" t="s">
        <v>108</v>
      </c>
      <c r="C47" s="61">
        <v>0</v>
      </c>
      <c r="D47" s="58"/>
      <c r="E47" s="62">
        <v>0</v>
      </c>
      <c r="F47" s="51" t="s">
        <v>35</v>
      </c>
      <c r="G47" s="59">
        <f>IF(SUM($F$24+$F$25)&lt;=0,0,IF(OR($C$16="Primary",$C$16="Secondary (Owner Occ.)"),SUM(C41:C47)/SUM($F$24+$F$25),0))</f>
        <v>0</v>
      </c>
      <c r="M47" s="22" t="s">
        <v>79</v>
      </c>
    </row>
    <row r="48" spans="1:13" ht="7.5" customHeight="1" thickBot="1" x14ac:dyDescent="0.3">
      <c r="A48" s="36"/>
      <c r="B48" s="34"/>
      <c r="C48" s="35"/>
      <c r="D48" s="36"/>
      <c r="E48" s="37"/>
      <c r="F48" s="36"/>
      <c r="G48" s="36"/>
      <c r="M48" s="22" t="s">
        <v>80</v>
      </c>
    </row>
    <row r="49" spans="1:8" ht="15" customHeight="1" thickBot="1" x14ac:dyDescent="0.3">
      <c r="A49" s="36"/>
      <c r="B49" s="38" t="s">
        <v>16</v>
      </c>
      <c r="C49" s="33">
        <v>0</v>
      </c>
      <c r="D49" s="67"/>
      <c r="E49" s="77"/>
      <c r="F49" s="36"/>
      <c r="G49" s="39"/>
    </row>
    <row r="50" spans="1:8" ht="15" customHeight="1" thickBot="1" x14ac:dyDescent="0.3">
      <c r="A50" s="36"/>
      <c r="B50" s="38" t="s">
        <v>17</v>
      </c>
      <c r="C50" s="50">
        <f>IF(C16="Primary",SUM(C41:C47,C49),SUM(C41:C47)+SUM(E41:E47)+C49)</f>
        <v>0</v>
      </c>
      <c r="D50" s="68"/>
      <c r="E50" s="78"/>
      <c r="F50" s="51" t="s">
        <v>34</v>
      </c>
      <c r="G50" s="60">
        <f>IF(SUM(F24:G25)=0,0,C50/(F24+F25))</f>
        <v>0</v>
      </c>
    </row>
    <row r="51" spans="1:8" ht="6" customHeight="1" x14ac:dyDescent="0.25">
      <c r="A51" s="36"/>
      <c r="B51" s="88"/>
      <c r="C51" s="88"/>
      <c r="D51" s="88"/>
      <c r="E51" s="88"/>
      <c r="F51" s="88"/>
      <c r="G51" s="88"/>
    </row>
    <row r="52" spans="1:8" ht="6" customHeight="1" x14ac:dyDescent="0.3">
      <c r="B52" s="84"/>
      <c r="C52" s="84"/>
      <c r="D52" s="85"/>
      <c r="E52" s="85"/>
      <c r="F52" s="86"/>
      <c r="G52" s="86"/>
    </row>
    <row r="53" spans="1:8" ht="6" customHeight="1" x14ac:dyDescent="0.25">
      <c r="B53" s="87"/>
      <c r="C53" s="87"/>
      <c r="D53" s="87"/>
      <c r="E53" s="87"/>
      <c r="F53" s="87"/>
      <c r="G53" s="87"/>
      <c r="H53" s="25"/>
    </row>
    <row r="54" spans="1:8" ht="6" customHeight="1" x14ac:dyDescent="0.25"/>
    <row r="55" spans="1:8" ht="6" customHeight="1" x14ac:dyDescent="0.25"/>
    <row r="56" spans="1:8" ht="15" customHeight="1" x14ac:dyDescent="0.25">
      <c r="B56" s="81" t="s">
        <v>86</v>
      </c>
      <c r="C56" s="82"/>
      <c r="D56" s="82"/>
      <c r="E56" s="82"/>
      <c r="F56" s="82"/>
      <c r="G56" s="82"/>
    </row>
    <row r="57" spans="1:8" ht="17.25" hidden="1" customHeight="1" x14ac:dyDescent="0.25"/>
    <row r="58" spans="1:8" hidden="1" x14ac:dyDescent="0.25"/>
    <row r="59" spans="1:8" hidden="1" x14ac:dyDescent="0.25"/>
    <row r="60" spans="1:8" hidden="1" x14ac:dyDescent="0.25"/>
  </sheetData>
  <sheetProtection password="F29D" sheet="1" objects="1" scenarios="1" selectLockedCells="1"/>
  <sortState ref="M7:M48">
    <sortCondition ref="M7:M48"/>
  </sortState>
  <mergeCells count="46">
    <mergeCell ref="B38:G38"/>
    <mergeCell ref="C25:E25"/>
    <mergeCell ref="B27:G27"/>
    <mergeCell ref="F25:G25"/>
    <mergeCell ref="C36:E36"/>
    <mergeCell ref="C34:E34"/>
    <mergeCell ref="C35:E35"/>
    <mergeCell ref="C33:E33"/>
    <mergeCell ref="C24:E24"/>
    <mergeCell ref="F24:G24"/>
    <mergeCell ref="C26:E26"/>
    <mergeCell ref="C6:G6"/>
    <mergeCell ref="C8:G8"/>
    <mergeCell ref="C16:E16"/>
    <mergeCell ref="C14:E14"/>
    <mergeCell ref="C12:G12"/>
    <mergeCell ref="C7:G7"/>
    <mergeCell ref="C20:D20"/>
    <mergeCell ref="C9:G9"/>
    <mergeCell ref="B15:G15"/>
    <mergeCell ref="C11:G11"/>
    <mergeCell ref="E20:F20"/>
    <mergeCell ref="C23:E23"/>
    <mergeCell ref="C10:G10"/>
    <mergeCell ref="C2:G2"/>
    <mergeCell ref="C4:G4"/>
    <mergeCell ref="F23:G23"/>
    <mergeCell ref="C5:G5"/>
    <mergeCell ref="C3:G3"/>
    <mergeCell ref="B22:G22"/>
    <mergeCell ref="E49:E50"/>
    <mergeCell ref="I25:L25"/>
    <mergeCell ref="B56:G56"/>
    <mergeCell ref="B28:G28"/>
    <mergeCell ref="B29:G29"/>
    <mergeCell ref="B30:G30"/>
    <mergeCell ref="I37:L37"/>
    <mergeCell ref="B52:C52"/>
    <mergeCell ref="D52:E52"/>
    <mergeCell ref="F52:G52"/>
    <mergeCell ref="B53:C53"/>
    <mergeCell ref="D53:E53"/>
    <mergeCell ref="F53:G53"/>
    <mergeCell ref="B51:G51"/>
    <mergeCell ref="C37:E37"/>
    <mergeCell ref="F43:G44"/>
  </mergeCells>
  <phoneticPr fontId="0" type="noConversion"/>
  <conditionalFormatting sqref="G47">
    <cfRule type="cellIs" dxfId="9" priority="13" operator="greaterThan">
      <formula>0.38</formula>
    </cfRule>
    <cfRule type="cellIs" dxfId="8" priority="14" operator="greaterThan">
      <formula>0.375</formula>
    </cfRule>
  </conditionalFormatting>
  <conditionalFormatting sqref="G50">
    <cfRule type="cellIs" dxfId="7" priority="11" stopIfTrue="1" operator="greaterThan">
      <formula>0.45</formula>
    </cfRule>
    <cfRule type="cellIs" dxfId="6" priority="12" stopIfTrue="1" operator="greaterThan">
      <formula>0.445</formula>
    </cfRule>
  </conditionalFormatting>
  <conditionalFormatting sqref="C41 C33:C35 C24 F24 C49 E41 E44:E47 C44:C47">
    <cfRule type="cellIs" dxfId="5" priority="9" operator="equal">
      <formula>0</formula>
    </cfRule>
    <cfRule type="containsBlanks" dxfId="4" priority="10">
      <formula>LEN(TRIM(C24))=0</formula>
    </cfRule>
  </conditionalFormatting>
  <conditionalFormatting sqref="C14 C16">
    <cfRule type="containsText" dxfId="3" priority="8" operator="containsText" text="(Select)">
      <formula>NOT(ISERROR(SEARCH("(Select)",C14)))</formula>
    </cfRule>
  </conditionalFormatting>
  <conditionalFormatting sqref="E41 E41:E47">
    <cfRule type="expression" dxfId="2" priority="3">
      <formula>ISNUMBER(SEARCH("Primary",$C$16))</formula>
    </cfRule>
  </conditionalFormatting>
  <conditionalFormatting sqref="C42:C43">
    <cfRule type="expression" dxfId="1" priority="2">
      <formula>ISNUMBER(SEARCH("Secondary (Owner Occ.)",$C$16))</formula>
    </cfRule>
  </conditionalFormatting>
  <conditionalFormatting sqref="C4:G4">
    <cfRule type="containsText" dxfId="0" priority="1" operator="containsText" text="(Select State)">
      <formula>NOT(ISERROR(SEARCH("(Select State)",C4)))</formula>
    </cfRule>
  </conditionalFormatting>
  <dataValidations count="3">
    <dataValidation type="list" allowBlank="1" showInputMessage="1" showErrorMessage="1" sqref="C16:E16">
      <formula1>$L$17:$L$19</formula1>
    </dataValidation>
    <dataValidation type="list" allowBlank="1" showInputMessage="1" showErrorMessage="1" sqref="C14:E14">
      <formula1>$J$17:$J$20</formula1>
    </dataValidation>
    <dataValidation type="list" allowBlank="1" showInputMessage="1" showErrorMessage="1" sqref="C4:G4">
      <formula1>$M$5:$M$48</formula1>
    </dataValidation>
  </dataValidations>
  <hyperlinks>
    <hyperlink ref="F43:G44" r:id="rId1" display="See Todays Pricing Guide"/>
    <hyperlink ref="B56" r:id="rId2"/>
  </hyperlinks>
  <printOptions horizontalCentered="1" verticalCentered="1"/>
  <pageMargins left="0.33300000000000002" right="0.33300000000000002" top="0.5" bottom="0.33" header="0.25" footer="0.25"/>
  <pageSetup fitToWidth="0" fitToHeight="0" orientation="portrait" r:id="rId3"/>
  <headerFooter alignWithMargins="0">
    <oddHeader>&amp;C&amp;"-,Bold"&amp;20TCF HELOC WORKSHEET</oddHeader>
    <oddFooter>&amp;L&amp;"-,Bold"&amp;9Doc #1017 - RL&amp;R&amp;"-,Bold"&amp;9Effective: 03/31/2016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TCF HELOC Worksheet</vt:lpstr>
    </vt:vector>
  </TitlesOfParts>
  <Company>TCF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TCF Second Mortgage Worksheet</dc:title>
  <dc:creator>Adam Werner</dc:creator>
  <cp:lastModifiedBy>Peterson, Bjorn</cp:lastModifiedBy>
  <cp:lastPrinted>2015-11-04T15:35:12Z</cp:lastPrinted>
  <dcterms:created xsi:type="dcterms:W3CDTF">2009-03-07T05:39:29Z</dcterms:created>
  <dcterms:modified xsi:type="dcterms:W3CDTF">2016-03-28T19:49:48Z</dcterms:modified>
</cp:coreProperties>
</file>