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426"/>
  <workbookPr autoCompressPictures="0"/>
  <bookViews>
    <workbookView xWindow="560" yWindow="1640" windowWidth="25040" windowHeight="14420" tabRatio="500" firstSheet="1" activeTab="1"/>
  </bookViews>
  <sheets>
    <sheet name="Sheet1" sheetId="1" r:id="rId1"/>
    <sheet name="scenario2" sheetId="2" r:id="rId2"/>
    <sheet name="scenario1" sheetId="3" r:id="rId3"/>
    <sheet name="aws configuration" sheetId="4" r:id="rId4"/>
    <sheet name="scenario 1 plot" sheetId="5" r:id="rId5"/>
    <sheet name="scenario 2 plot" sheetId="6" r:id="rId6"/>
    <sheet name="scenario 1 sched" sheetId="7" r:id="rId7"/>
    <sheet name="Sheet5" sheetId="8" r:id="rId8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" i="8" l="1"/>
  <c r="D6" i="8"/>
  <c r="D7" i="8"/>
  <c r="D8" i="8"/>
  <c r="D4" i="8"/>
  <c r="C5" i="8"/>
  <c r="C6" i="8"/>
  <c r="C7" i="8"/>
  <c r="C8" i="8"/>
  <c r="C4" i="8"/>
  <c r="D2" i="8"/>
  <c r="B2" i="8"/>
  <c r="J21" i="8"/>
  <c r="J20" i="8"/>
  <c r="J19" i="8"/>
  <c r="J18" i="8"/>
  <c r="J15" i="8"/>
  <c r="I15" i="8"/>
  <c r="G15" i="8"/>
  <c r="E8" i="8"/>
  <c r="E7" i="8"/>
  <c r="E6" i="8"/>
  <c r="E5" i="8"/>
  <c r="E2" i="8"/>
  <c r="F47" i="2"/>
  <c r="F48" i="2"/>
  <c r="F49" i="2"/>
  <c r="F50" i="2"/>
  <c r="F46" i="2"/>
  <c r="E47" i="2"/>
  <c r="E48" i="2"/>
  <c r="E49" i="2"/>
  <c r="E50" i="2"/>
  <c r="E46" i="2"/>
  <c r="F59" i="3"/>
  <c r="F60" i="3"/>
  <c r="F61" i="3"/>
  <c r="F62" i="3"/>
  <c r="F58" i="3"/>
  <c r="D59" i="3"/>
  <c r="D60" i="3"/>
  <c r="D61" i="3"/>
  <c r="D62" i="3"/>
  <c r="D58" i="3"/>
  <c r="U6" i="7"/>
  <c r="R6" i="7"/>
  <c r="E6" i="7"/>
  <c r="C6" i="7"/>
  <c r="V5" i="7"/>
  <c r="U5" i="7"/>
  <c r="R5" i="7"/>
  <c r="E5" i="7"/>
  <c r="C5" i="7"/>
  <c r="V4" i="7"/>
  <c r="U4" i="7"/>
  <c r="R4" i="7"/>
  <c r="E4" i="7"/>
  <c r="C4" i="7"/>
  <c r="V3" i="7"/>
  <c r="U3" i="7"/>
  <c r="R3" i="7"/>
  <c r="E3" i="7"/>
  <c r="C3" i="7"/>
  <c r="V2" i="7"/>
  <c r="U2" i="7"/>
  <c r="R2" i="7"/>
  <c r="E2" i="7"/>
  <c r="C2" i="7"/>
  <c r="E171" i="5"/>
  <c r="O13" i="2"/>
  <c r="O31" i="2"/>
  <c r="N113" i="6"/>
  <c r="M113" i="6"/>
  <c r="G113" i="6"/>
  <c r="H113" i="6"/>
  <c r="N112" i="6"/>
  <c r="M112" i="6"/>
  <c r="G112" i="6"/>
  <c r="H112" i="6"/>
  <c r="M111" i="6"/>
  <c r="H111" i="6"/>
  <c r="M101" i="6"/>
  <c r="M100" i="6"/>
  <c r="M99" i="6"/>
  <c r="F99" i="6"/>
  <c r="H99" i="6"/>
  <c r="T16" i="2"/>
  <c r="K34" i="3"/>
  <c r="M72" i="6"/>
  <c r="H72" i="6"/>
  <c r="M35" i="6"/>
  <c r="H35" i="6"/>
  <c r="M34" i="6"/>
  <c r="H34" i="6"/>
  <c r="I33" i="6"/>
  <c r="J33" i="6"/>
  <c r="M33" i="6"/>
  <c r="H33" i="6"/>
  <c r="J4" i="6"/>
  <c r="M4" i="6"/>
  <c r="H4" i="6"/>
  <c r="M3" i="6"/>
  <c r="H3" i="6"/>
  <c r="I2" i="6"/>
  <c r="M2" i="6"/>
  <c r="H2" i="6"/>
  <c r="E8" i="3"/>
  <c r="C8" i="3"/>
  <c r="O3" i="2"/>
  <c r="O4" i="2"/>
  <c r="M5" i="2"/>
  <c r="O5" i="2"/>
  <c r="O6" i="2"/>
  <c r="O2" i="2"/>
  <c r="P135" i="5"/>
  <c r="O135" i="5"/>
  <c r="L135" i="5"/>
  <c r="P134" i="5"/>
  <c r="O134" i="5"/>
  <c r="L134" i="5"/>
  <c r="P133" i="5"/>
  <c r="O133" i="5"/>
  <c r="L133" i="5"/>
  <c r="P132" i="5"/>
  <c r="O132" i="5"/>
  <c r="L132" i="5"/>
  <c r="F132" i="5"/>
  <c r="D132" i="5"/>
  <c r="P92" i="5"/>
  <c r="O92" i="5"/>
  <c r="L92" i="5"/>
  <c r="P90" i="5"/>
  <c r="O90" i="5"/>
  <c r="L90" i="5"/>
  <c r="F90" i="5"/>
  <c r="D90" i="5"/>
  <c r="U6" i="3"/>
  <c r="P49" i="5"/>
  <c r="O49" i="5"/>
  <c r="L49" i="5"/>
  <c r="P48" i="5"/>
  <c r="O48" i="5"/>
  <c r="L48" i="5"/>
  <c r="P47" i="5"/>
  <c r="O47" i="5"/>
  <c r="L47" i="5"/>
  <c r="F47" i="5"/>
  <c r="D47" i="5"/>
  <c r="P6" i="5"/>
  <c r="O6" i="5"/>
  <c r="L6" i="5"/>
  <c r="P5" i="5"/>
  <c r="O5" i="5"/>
  <c r="L5" i="5"/>
  <c r="P4" i="5"/>
  <c r="O4" i="5"/>
  <c r="L4" i="5"/>
  <c r="F4" i="5"/>
  <c r="D4" i="5"/>
  <c r="V22" i="3"/>
  <c r="U22" i="3"/>
  <c r="R22" i="3"/>
  <c r="V21" i="3"/>
  <c r="U21" i="3"/>
  <c r="R21" i="3"/>
  <c r="V20" i="3"/>
  <c r="U20" i="3"/>
  <c r="R20" i="3"/>
  <c r="V19" i="3"/>
  <c r="U19" i="3"/>
  <c r="R19" i="3"/>
  <c r="V17" i="3"/>
  <c r="U17" i="3"/>
  <c r="R17" i="3"/>
  <c r="V16" i="3"/>
  <c r="U16" i="3"/>
  <c r="R16" i="3"/>
  <c r="V15" i="3"/>
  <c r="U15" i="3"/>
  <c r="R15" i="3"/>
  <c r="V14" i="3"/>
  <c r="U14" i="3"/>
  <c r="R14" i="3"/>
  <c r="R6" i="3"/>
  <c r="E6" i="3"/>
  <c r="C6" i="3"/>
  <c r="V5" i="3"/>
  <c r="U5" i="3"/>
  <c r="R5" i="3"/>
  <c r="E5" i="3"/>
  <c r="C5" i="3"/>
  <c r="V4" i="3"/>
  <c r="U4" i="3"/>
  <c r="R4" i="3"/>
  <c r="E4" i="3"/>
  <c r="C4" i="3"/>
  <c r="V3" i="3"/>
  <c r="U3" i="3"/>
  <c r="R3" i="3"/>
  <c r="E3" i="3"/>
  <c r="C3" i="3"/>
  <c r="V2" i="3"/>
  <c r="U2" i="3"/>
  <c r="R2" i="3"/>
  <c r="E2" i="3"/>
  <c r="C2" i="3"/>
  <c r="U18" i="2"/>
  <c r="T18" i="2"/>
  <c r="N18" i="2"/>
  <c r="O18" i="2"/>
  <c r="U17" i="2"/>
  <c r="T17" i="2"/>
  <c r="N17" i="2"/>
  <c r="O17" i="2"/>
  <c r="T15" i="2"/>
  <c r="T12" i="2"/>
  <c r="O12" i="2"/>
  <c r="T11" i="2"/>
  <c r="O11" i="2"/>
  <c r="Q10" i="2"/>
  <c r="T10" i="2"/>
  <c r="O10" i="2"/>
  <c r="T9" i="2"/>
  <c r="O9" i="2"/>
  <c r="T6" i="2"/>
  <c r="T5" i="2"/>
  <c r="T4" i="2"/>
  <c r="P3" i="2"/>
  <c r="Q3" i="2"/>
  <c r="T3" i="2"/>
  <c r="P2" i="2"/>
  <c r="T2" i="2"/>
  <c r="Y38" i="1"/>
  <c r="X38" i="1"/>
  <c r="R38" i="1"/>
  <c r="Y37" i="1"/>
  <c r="X37" i="1"/>
  <c r="R37" i="1"/>
  <c r="X35" i="1"/>
  <c r="X34" i="1"/>
  <c r="R34" i="1"/>
  <c r="X33" i="1"/>
  <c r="R33" i="1"/>
  <c r="X32" i="1"/>
  <c r="R32" i="1"/>
  <c r="Y30" i="1"/>
  <c r="S30" i="1"/>
  <c r="T30" i="1"/>
  <c r="U30" i="1"/>
  <c r="V30" i="1"/>
  <c r="W30" i="1"/>
  <c r="X30" i="1"/>
  <c r="M30" i="1"/>
  <c r="N30" i="1"/>
  <c r="O30" i="1"/>
  <c r="R30" i="1"/>
  <c r="Y29" i="1"/>
  <c r="S29" i="1"/>
  <c r="T29" i="1"/>
  <c r="U29" i="1"/>
  <c r="V29" i="1"/>
  <c r="W29" i="1"/>
  <c r="X29" i="1"/>
  <c r="M29" i="1"/>
  <c r="N29" i="1"/>
  <c r="O29" i="1"/>
  <c r="R29" i="1"/>
  <c r="X22" i="1"/>
  <c r="R22" i="1"/>
  <c r="Y19" i="1"/>
  <c r="X19" i="1"/>
  <c r="R19" i="1"/>
  <c r="Y18" i="1"/>
  <c r="X18" i="1"/>
  <c r="R18" i="1"/>
  <c r="Y17" i="1"/>
  <c r="X17" i="1"/>
  <c r="R17" i="1"/>
  <c r="Y16" i="1"/>
  <c r="X16" i="1"/>
  <c r="R16" i="1"/>
  <c r="X15" i="1"/>
  <c r="R15" i="1"/>
  <c r="X14" i="1"/>
  <c r="R14" i="1"/>
  <c r="Y13" i="1"/>
  <c r="S13" i="1"/>
  <c r="T13" i="1"/>
  <c r="X13" i="1"/>
  <c r="M13" i="1"/>
  <c r="N13" i="1"/>
  <c r="O13" i="1"/>
  <c r="P13" i="1"/>
  <c r="Q13" i="1"/>
  <c r="R13" i="1"/>
  <c r="M11" i="1"/>
  <c r="N11" i="1"/>
  <c r="O11" i="1"/>
  <c r="P11" i="1"/>
  <c r="R11" i="1"/>
  <c r="E11" i="1"/>
  <c r="C11" i="1"/>
  <c r="Y10" i="1"/>
  <c r="S10" i="1"/>
  <c r="T10" i="1"/>
  <c r="X10" i="1"/>
  <c r="M10" i="1"/>
  <c r="N10" i="1"/>
  <c r="O10" i="1"/>
  <c r="P10" i="1"/>
  <c r="Q10" i="1"/>
  <c r="R10" i="1"/>
  <c r="E10" i="1"/>
  <c r="C10" i="1"/>
  <c r="Y9" i="1"/>
  <c r="T9" i="1"/>
  <c r="X9" i="1"/>
  <c r="M9" i="1"/>
  <c r="O9" i="1"/>
  <c r="R9" i="1"/>
  <c r="E9" i="1"/>
  <c r="C9" i="1"/>
  <c r="Y8" i="1"/>
  <c r="S8" i="1"/>
  <c r="T8" i="1"/>
  <c r="X8" i="1"/>
  <c r="N8" i="1"/>
  <c r="O8" i="1"/>
  <c r="P8" i="1"/>
  <c r="Q8" i="1"/>
  <c r="R8" i="1"/>
  <c r="E8" i="1"/>
  <c r="C8" i="1"/>
  <c r="Y7" i="1"/>
  <c r="S7" i="1"/>
  <c r="T7" i="1"/>
  <c r="X7" i="1"/>
  <c r="N7" i="1"/>
  <c r="O7" i="1"/>
  <c r="P7" i="1"/>
  <c r="Q7" i="1"/>
  <c r="R7" i="1"/>
  <c r="E7" i="1"/>
  <c r="C7" i="1"/>
  <c r="Q2" i="1"/>
  <c r="P2" i="1"/>
  <c r="O2" i="1"/>
  <c r="N2" i="1"/>
  <c r="M2" i="1"/>
</calcChain>
</file>

<file path=xl/comments1.xml><?xml version="1.0" encoding="utf-8"?>
<comments xmlns="http://schemas.openxmlformats.org/spreadsheetml/2006/main">
  <authors>
    <author/>
  </authors>
  <commentList>
    <comment ref="R32" authorId="0">
      <text>
        <r>
          <rPr>
            <sz val="10"/>
            <rFont val="Arial"/>
          </rPr>
          <t>graph problem
	-hong xu</t>
        </r>
      </text>
    </comment>
  </commentList>
</comments>
</file>

<file path=xl/sharedStrings.xml><?xml version="1.0" encoding="utf-8"?>
<sst xmlns="http://schemas.openxmlformats.org/spreadsheetml/2006/main" count="336" uniqueCount="90">
  <si>
    <t>Experiment ID</t>
  </si>
  <si>
    <t>capacity batch</t>
  </si>
  <si>
    <t>capacity realtime</t>
  </si>
  <si>
    <t>max cap batch</t>
  </si>
  <si>
    <t>max cap realtime</t>
  </si>
  <si>
    <t># batch job</t>
  </si>
  <si>
    <t/>
  </si>
  <si>
    <t># realtime job</t>
  </si>
  <si>
    <t># mappers batch</t>
  </si>
  <si>
    <t># reducers batch</t>
  </si>
  <si>
    <t># mappers realtime</t>
  </si>
  <si>
    <t># reducers realtime</t>
  </si>
  <si>
    <t>batch 1 duration (sec)</t>
  </si>
  <si>
    <t>batch 2 duration</t>
  </si>
  <si>
    <t>batch 3 duration</t>
  </si>
  <si>
    <t>batch 4 duration</t>
  </si>
  <si>
    <t>batch 5 duration</t>
  </si>
  <si>
    <t xml:space="preserve">avg batch </t>
  </si>
  <si>
    <t>realtime 1 duration</t>
  </si>
  <si>
    <t>realtime 2 duration</t>
  </si>
  <si>
    <t>realtime 3 duration</t>
  </si>
  <si>
    <t>realtime 4 duration</t>
  </si>
  <si>
    <t>realtime 5 duration</t>
  </si>
  <si>
    <t>avg realtime</t>
  </si>
  <si>
    <t>EMR settings</t>
  </si>
  <si>
    <t xml:space="preserve"># nodes </t>
  </si>
  <si>
    <t>type of nodes</t>
  </si>
  <si>
    <t>vCPU</t>
  </si>
  <si>
    <t>Total Exectution Time</t>
  </si>
  <si>
    <t>ECU</t>
  </si>
  <si>
    <t>Memory (GiB)</t>
  </si>
  <si>
    <t>Instance Storage (GB)</t>
  </si>
  <si>
    <t>Linux/UNIX Usage</t>
  </si>
  <si>
    <t>m1.large</t>
  </si>
  <si>
    <t>2 x 420</t>
  </si>
  <si>
    <t>$0.175 per Hour</t>
  </si>
  <si>
    <t>yarn.scheduler.minimum-allocation-mb</t>
  </si>
  <si>
    <t>YARN is running more containers than allocated cores because by default DefaultResourceCalculator is used. It considers only memory.</t>
  </si>
  <si>
    <t xml:space="preserve">20, 31 </t>
  </si>
  <si>
    <t>6, 9</t>
  </si>
  <si>
    <t>with preemption</t>
  </si>
  <si>
    <t>timeout</t>
  </si>
  <si>
    <t>&gt;20mins</t>
  </si>
  <si>
    <t>max capacity</t>
  </si>
  <si>
    <t>timeout (&gt;15min)</t>
  </si>
  <si>
    <t>max capacity</t>
  </si>
  <si>
    <t>capacity-scheduler.rconf50.max10.xml</t>
  </si>
  <si>
    <t>Scenario 1</t>
  </si>
  <si>
    <t>capacity-scheduler.rconf50.max20.xml</t>
  </si>
  <si>
    <t>app 2</t>
  </si>
  <si>
    <t>capacity-scheduler.rconf60.max10.xml</t>
  </si>
  <si>
    <t>capacity-scheduler.rconf60.max20.xml</t>
  </si>
  <si>
    <t>capacity-scheduler.rconf70.max10.xml</t>
  </si>
  <si>
    <t>capacity-scheduler.rconf70.max20.xml</t>
  </si>
  <si>
    <t>capacity-scheduler.rconf80.max10.xml</t>
  </si>
  <si>
    <t>app 18</t>
  </si>
  <si>
    <t>capacity-scheduler.rconf80.max20.xml</t>
  </si>
  <si>
    <t>capacity-scheduler.rconf90.max10.xml</t>
  </si>
  <si>
    <t>capacity-scheduler.rconf90.max20.xml</t>
  </si>
  <si>
    <t>preemption</t>
  </si>
  <si>
    <t>timeout (&gt; 20 mins)</t>
  </si>
  <si>
    <t xml:space="preserve">80%-20% </t>
  </si>
  <si>
    <t>increase helps</t>
  </si>
  <si>
    <t>70%-30%</t>
  </si>
  <si>
    <t>108? 107 the best</t>
  </si>
  <si>
    <t xml:space="preserve">60%-40%, 50%-50% </t>
  </si>
  <si>
    <t>around the optimal ratio, does not help much</t>
  </si>
  <si>
    <t>Scenario 2</t>
  </si>
  <si>
    <t>371(realtime)</t>
  </si>
  <si>
    <t>453(realtime)</t>
  </si>
  <si>
    <t>400(realtime)</t>
  </si>
  <si>
    <t>311(realtime)</t>
  </si>
  <si>
    <t>369(realtime)</t>
  </si>
  <si>
    <t>424(realtime)</t>
  </si>
  <si>
    <t>filename</t>
  </si>
  <si>
    <t>g</t>
  </si>
  <si>
    <t>b</t>
  </si>
  <si>
    <t>r</t>
  </si>
  <si>
    <t>color</t>
  </si>
  <si>
    <t>COLLECT cluster metrics!</t>
  </si>
  <si>
    <t>271(realtime)</t>
  </si>
  <si>
    <t>DominantResouceCalculator</t>
  </si>
  <si>
    <t>CPU scheduling</t>
  </si>
  <si>
    <t>&gt;20min</t>
  </si>
  <si>
    <t>Total Exectution Time (mem)</t>
  </si>
  <si>
    <t>avg batch (mem)</t>
  </si>
  <si>
    <t>avg realtime (mem)</t>
  </si>
  <si>
    <t>avg batch (CPU)</t>
  </si>
  <si>
    <t>avg realtime (CPU)</t>
  </si>
  <si>
    <t>Total Exectution Time (CPU)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</si>
</sst>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0"/>
      <name val="Arial"/>
    </font>
    <font>
      <b/>
      <sz val="10"/>
      <name val="Arial"/>
    </font>
    <font>
      <b/>
      <sz val="10"/>
      <color rgb="FF000000"/>
      <name val="Arial"/>
    </font>
    <font>
      <sz val="10"/>
      <name val="Arial"/>
    </font>
    <font>
      <sz val="10"/>
      <color rgb="FFB7B7B7"/>
      <name val="Arial"/>
    </font>
    <font>
      <sz val="10"/>
      <color rgb="FF000000"/>
      <name val="Arial"/>
    </font>
    <font>
      <sz val="10"/>
      <color rgb="FFCCCCCC"/>
      <name val="Arial"/>
    </font>
    <font>
      <sz val="10"/>
      <color rgb="FFFF0000"/>
      <name val="Arial"/>
    </font>
    <font>
      <b/>
      <sz val="10"/>
      <color rgb="FFFF0000"/>
      <name val="Arial"/>
    </font>
    <font>
      <u/>
      <sz val="10"/>
      <color theme="10"/>
      <name val="Arial"/>
    </font>
    <font>
      <u/>
      <sz val="10"/>
      <color theme="11"/>
      <name val="Arial"/>
    </font>
    <font>
      <sz val="13"/>
      <name val="Arial"/>
    </font>
  </fonts>
  <fills count="14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4A86E8"/>
        <bgColor rgb="FF4A86E8"/>
      </patternFill>
    </fill>
    <fill>
      <patternFill patternType="solid">
        <fgColor rgb="FFFF00FF"/>
        <bgColor rgb="FFFF00FF"/>
      </patternFill>
    </fill>
    <fill>
      <patternFill patternType="solid">
        <fgColor rgb="FFEA9999"/>
        <bgColor rgb="FFEA9999"/>
      </patternFill>
    </fill>
    <fill>
      <patternFill patternType="solid">
        <fgColor rgb="FFEAD1DC"/>
        <bgColor rgb="FFEAD1DC"/>
      </patternFill>
    </fill>
    <fill>
      <patternFill patternType="solid">
        <fgColor rgb="FFBF9000"/>
        <bgColor rgb="FFBF9000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FFD966"/>
        <bgColor rgb="FFFFD966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FF"/>
      </patternFill>
    </fill>
    <fill>
      <patternFill patternType="solid">
        <fgColor theme="5" tint="0.39997558519241921"/>
        <bgColor indexed="64"/>
      </patternFill>
    </fill>
  </fills>
  <borders count="15">
    <border>
      <left/>
      <right/>
      <top/>
      <bottom/>
      <diagonal/>
    </border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46">
    <xf numFmtId="0" fontId="0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9" fontId="3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95">
    <xf numFmtId="0" fontId="0" fillId="0" borderId="0" xfId="0"/>
    <xf numFmtId="0" fontId="1" fillId="0" borderId="1" xfId="0" applyFont="1" applyBorder="1" applyAlignment="1"/>
    <xf numFmtId="0" fontId="1" fillId="2" borderId="1" xfId="0" applyFont="1" applyFill="1" applyBorder="1" applyAlignment="1"/>
    <xf numFmtId="0" fontId="1" fillId="3" borderId="1" xfId="0" applyFont="1" applyFill="1" applyBorder="1" applyAlignment="1"/>
    <xf numFmtId="0" fontId="1" fillId="4" borderId="1" xfId="0" applyFont="1" applyFill="1" applyBorder="1" applyAlignment="1"/>
    <xf numFmtId="0" fontId="2" fillId="5" borderId="1" xfId="0" applyFont="1" applyFill="1" applyBorder="1" applyAlignment="1"/>
    <xf numFmtId="0" fontId="3" fillId="0" borderId="1" xfId="0" applyFont="1" applyBorder="1" applyAlignment="1"/>
    <xf numFmtId="0" fontId="3" fillId="6" borderId="1" xfId="0" applyFont="1" applyFill="1" applyBorder="1" applyAlignment="1"/>
    <xf numFmtId="0" fontId="1" fillId="0" borderId="1" xfId="0" applyFont="1" applyBorder="1" applyAlignment="1">
      <alignment horizontal="center"/>
    </xf>
    <xf numFmtId="0" fontId="3" fillId="7" borderId="1" xfId="0" applyFont="1" applyFill="1" applyBorder="1" applyAlignment="1"/>
    <xf numFmtId="0" fontId="4" fillId="0" borderId="1" xfId="0" applyFont="1" applyBorder="1" applyAlignment="1"/>
    <xf numFmtId="0" fontId="4" fillId="0" borderId="1" xfId="0" applyFont="1" applyBorder="1" applyAlignment="1"/>
    <xf numFmtId="0" fontId="5" fillId="0" borderId="1" xfId="0" applyFont="1" applyBorder="1" applyAlignment="1"/>
    <xf numFmtId="0" fontId="4" fillId="0" borderId="1" xfId="0" applyFont="1" applyBorder="1"/>
    <xf numFmtId="0" fontId="5" fillId="5" borderId="1" xfId="0" applyFont="1" applyFill="1" applyBorder="1"/>
    <xf numFmtId="0" fontId="4" fillId="0" borderId="1" xfId="0" applyFont="1" applyBorder="1"/>
    <xf numFmtId="0" fontId="4" fillId="6" borderId="1" xfId="0" applyFont="1" applyFill="1" applyBorder="1"/>
    <xf numFmtId="0" fontId="1" fillId="0" borderId="1" xfId="0" applyFont="1" applyBorder="1"/>
    <xf numFmtId="0" fontId="4" fillId="7" borderId="1" xfId="0" applyFont="1" applyFill="1" applyBorder="1"/>
    <xf numFmtId="0" fontId="6" fillId="0" borderId="1" xfId="0" applyFont="1" applyBorder="1" applyAlignment="1"/>
    <xf numFmtId="0" fontId="2" fillId="0" borderId="1" xfId="0" applyFont="1" applyBorder="1" applyAlignment="1"/>
    <xf numFmtId="0" fontId="1" fillId="0" borderId="1" xfId="0" applyFont="1" applyBorder="1"/>
    <xf numFmtId="0" fontId="6" fillId="0" borderId="1" xfId="0" applyFont="1" applyBorder="1"/>
    <xf numFmtId="0" fontId="6" fillId="6" borderId="1" xfId="0" applyFont="1" applyFill="1" applyBorder="1"/>
    <xf numFmtId="0" fontId="6" fillId="7" borderId="1" xfId="0" applyFont="1" applyFill="1" applyBorder="1"/>
    <xf numFmtId="0" fontId="3" fillId="5" borderId="1" xfId="0" applyFont="1" applyFill="1" applyBorder="1" applyAlignment="1"/>
    <xf numFmtId="0" fontId="3" fillId="6" borderId="1" xfId="0" applyFont="1" applyFill="1" applyBorder="1"/>
    <xf numFmtId="0" fontId="7" fillId="0" borderId="1" xfId="0" applyFont="1" applyBorder="1" applyAlignment="1"/>
    <xf numFmtId="0" fontId="3" fillId="7" borderId="1" xfId="0" applyFont="1" applyFill="1" applyBorder="1"/>
    <xf numFmtId="0" fontId="5" fillId="8" borderId="1" xfId="0" applyFont="1" applyFill="1" applyBorder="1" applyAlignment="1"/>
    <xf numFmtId="0" fontId="5" fillId="8" borderId="1" xfId="0" applyFont="1" applyFill="1" applyBorder="1"/>
    <xf numFmtId="0" fontId="3" fillId="9" borderId="1" xfId="0" applyFont="1" applyFill="1" applyBorder="1" applyAlignment="1"/>
    <xf numFmtId="0" fontId="5" fillId="5" borderId="1" xfId="0" applyFont="1" applyFill="1" applyBorder="1"/>
    <xf numFmtId="0" fontId="3" fillId="9" borderId="1" xfId="0" applyFont="1" applyFill="1" applyBorder="1"/>
    <xf numFmtId="0" fontId="3" fillId="6" borderId="1" xfId="0" applyFont="1" applyFill="1" applyBorder="1"/>
    <xf numFmtId="0" fontId="5" fillId="8" borderId="1" xfId="0" applyFont="1" applyFill="1" applyBorder="1"/>
    <xf numFmtId="0" fontId="3" fillId="7" borderId="1" xfId="0" applyFont="1" applyFill="1" applyBorder="1"/>
    <xf numFmtId="0" fontId="3" fillId="10" borderId="1" xfId="0" applyFont="1" applyFill="1" applyBorder="1" applyAlignment="1"/>
    <xf numFmtId="0" fontId="7" fillId="10" borderId="1" xfId="0" applyFont="1" applyFill="1" applyBorder="1" applyAlignment="1"/>
    <xf numFmtId="0" fontId="4" fillId="6" borderId="1" xfId="0" applyFont="1" applyFill="1" applyBorder="1"/>
    <xf numFmtId="0" fontId="4" fillId="7" borderId="1" xfId="0" applyFont="1" applyFill="1" applyBorder="1"/>
    <xf numFmtId="0" fontId="5" fillId="5" borderId="1" xfId="0" applyFont="1" applyFill="1" applyBorder="1" applyAlignment="1"/>
    <xf numFmtId="0" fontId="8" fillId="0" borderId="1" xfId="0" applyFont="1" applyBorder="1" applyAlignment="1"/>
    <xf numFmtId="0" fontId="0" fillId="0" borderId="1" xfId="0" applyFont="1" applyFill="1" applyBorder="1" applyAlignment="1"/>
    <xf numFmtId="0" fontId="0" fillId="0" borderId="1" xfId="0" applyBorder="1"/>
    <xf numFmtId="21" fontId="0" fillId="0" borderId="0" xfId="0" applyNumberFormat="1"/>
    <xf numFmtId="0" fontId="11" fillId="0" borderId="2" xfId="0" applyFont="1" applyBorder="1" applyAlignment="1">
      <alignment horizontal="right" wrapText="1"/>
    </xf>
    <xf numFmtId="0" fontId="11" fillId="0" borderId="2" xfId="0" applyFont="1" applyBorder="1" applyAlignment="1">
      <alignment wrapText="1"/>
    </xf>
    <xf numFmtId="0" fontId="7" fillId="0" borderId="0" xfId="0" applyFont="1"/>
    <xf numFmtId="0" fontId="0" fillId="11" borderId="0" xfId="0" applyFill="1"/>
    <xf numFmtId="0" fontId="5" fillId="12" borderId="1" xfId="0" applyFont="1" applyFill="1" applyBorder="1"/>
    <xf numFmtId="0" fontId="0" fillId="0" borderId="1" xfId="0" applyFont="1" applyBorder="1" applyAlignment="1"/>
    <xf numFmtId="0" fontId="0" fillId="9" borderId="1" xfId="0" applyFont="1" applyFill="1" applyBorder="1" applyAlignment="1"/>
    <xf numFmtId="0" fontId="0" fillId="9" borderId="1" xfId="0" applyFont="1" applyFill="1" applyBorder="1"/>
    <xf numFmtId="0" fontId="3" fillId="0" borderId="1" xfId="0" applyFont="1" applyFill="1" applyBorder="1" applyAlignment="1"/>
    <xf numFmtId="0" fontId="3" fillId="0" borderId="1" xfId="0" applyFont="1" applyFill="1" applyBorder="1"/>
    <xf numFmtId="0" fontId="0" fillId="0" borderId="0" xfId="0" applyFill="1"/>
    <xf numFmtId="0" fontId="7" fillId="0" borderId="1" xfId="0" applyFont="1" applyFill="1" applyBorder="1" applyAlignment="1"/>
    <xf numFmtId="0" fontId="8" fillId="0" borderId="1" xfId="0" applyFont="1" applyBorder="1"/>
    <xf numFmtId="0" fontId="1" fillId="0" borderId="0" xfId="0" applyFont="1"/>
    <xf numFmtId="0" fontId="11" fillId="0" borderId="2" xfId="0" applyFont="1" applyBorder="1" applyAlignment="1">
      <alignment vertical="center" wrapText="1"/>
    </xf>
    <xf numFmtId="0" fontId="0" fillId="6" borderId="1" xfId="0" applyFont="1" applyFill="1" applyBorder="1" applyAlignment="1"/>
    <xf numFmtId="0" fontId="0" fillId="7" borderId="1" xfId="0" applyFont="1" applyFill="1" applyBorder="1" applyAlignment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/>
    </xf>
    <xf numFmtId="0" fontId="5" fillId="8" borderId="1" xfId="0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5" fillId="8" borderId="6" xfId="0" applyFont="1" applyFill="1" applyBorder="1" applyAlignment="1">
      <alignment horizontal="center"/>
    </xf>
    <xf numFmtId="0" fontId="5" fillId="8" borderId="7" xfId="0" applyFont="1" applyFill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1" fillId="0" borderId="11" xfId="0" applyFont="1" applyFill="1" applyBorder="1" applyAlignment="1">
      <alignment horizontal="center"/>
    </xf>
    <xf numFmtId="0" fontId="0" fillId="0" borderId="12" xfId="0" applyFont="1" applyBorder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1" fillId="13" borderId="11" xfId="0" applyFont="1" applyFill="1" applyBorder="1" applyAlignment="1">
      <alignment horizontal="center"/>
    </xf>
    <xf numFmtId="9" fontId="0" fillId="0" borderId="12" xfId="0" applyNumberFormat="1" applyFont="1" applyBorder="1" applyAlignment="1">
      <alignment horizontal="center"/>
    </xf>
    <xf numFmtId="9" fontId="0" fillId="0" borderId="13" xfId="0" applyNumberFormat="1" applyFont="1" applyBorder="1" applyAlignment="1">
      <alignment horizontal="center"/>
    </xf>
    <xf numFmtId="9" fontId="3" fillId="0" borderId="3" xfId="0" applyNumberFormat="1" applyFont="1" applyBorder="1" applyAlignment="1">
      <alignment horizontal="center"/>
    </xf>
    <xf numFmtId="9" fontId="5" fillId="8" borderId="6" xfId="0" applyNumberFormat="1" applyFont="1" applyFill="1" applyBorder="1" applyAlignment="1">
      <alignment horizontal="center"/>
    </xf>
    <xf numFmtId="9" fontId="3" fillId="0" borderId="6" xfId="0" applyNumberFormat="1" applyFont="1" applyBorder="1" applyAlignment="1">
      <alignment horizontal="center"/>
    </xf>
    <xf numFmtId="9" fontId="3" fillId="0" borderId="4" xfId="0" applyNumberFormat="1" applyFont="1" applyBorder="1" applyAlignment="1">
      <alignment horizontal="center"/>
    </xf>
    <xf numFmtId="9" fontId="5" fillId="8" borderId="1" xfId="0" applyNumberFormat="1" applyFont="1" applyFill="1" applyBorder="1" applyAlignment="1">
      <alignment horizontal="center"/>
    </xf>
    <xf numFmtId="9" fontId="3" fillId="0" borderId="1" xfId="0" applyNumberFormat="1" applyFont="1" applyBorder="1" applyAlignment="1">
      <alignment horizontal="center"/>
    </xf>
    <xf numFmtId="9" fontId="3" fillId="0" borderId="9" xfId="0" applyNumberFormat="1" applyFont="1" applyBorder="1" applyAlignment="1">
      <alignment horizontal="center"/>
    </xf>
    <xf numFmtId="9" fontId="5" fillId="8" borderId="1" xfId="3" applyFont="1" applyFill="1" applyBorder="1" applyAlignment="1">
      <alignment horizontal="center"/>
    </xf>
    <xf numFmtId="9" fontId="3" fillId="0" borderId="1" xfId="3" applyFont="1" applyBorder="1" applyAlignment="1">
      <alignment horizontal="center"/>
    </xf>
    <xf numFmtId="9" fontId="3" fillId="0" borderId="9" xfId="3" applyFont="1" applyBorder="1" applyAlignment="1">
      <alignment horizontal="center"/>
    </xf>
    <xf numFmtId="9" fontId="3" fillId="0" borderId="4" xfId="3" applyFont="1" applyBorder="1" applyAlignment="1">
      <alignment horizontal="center"/>
    </xf>
    <xf numFmtId="9" fontId="0" fillId="0" borderId="13" xfId="3" applyFont="1" applyBorder="1" applyAlignment="1">
      <alignment horizontal="center"/>
    </xf>
  </cellXfs>
  <cellStyles count="146">
    <cellStyle name="Followed Hyperlink" xfId="2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Hyperlink" xfId="1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Normal" xfId="0" builtinId="0"/>
    <cellStyle name="Percent" xfId="3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max</a:t>
            </a:r>
            <a:r>
              <a:rPr lang="en-US" baseline="0"/>
              <a:t> capacity = capacity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scenario2!$O$1</c:f>
              <c:strCache>
                <c:ptCount val="1"/>
                <c:pt idx="0">
                  <c:v>avg batch </c:v>
                </c:pt>
              </c:strCache>
            </c:strRef>
          </c:tx>
          <c:invertIfNegative val="0"/>
          <c:dLbls>
            <c:dLbl>
              <c:idx val="4"/>
              <c:layout/>
              <c:tx>
                <c:rich>
                  <a:bodyPr/>
                  <a:lstStyle/>
                  <a:p>
                    <a:r>
                      <a:rPr lang="en-US"/>
                      <a:t>timeout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scenario2!$F$46:$F$50</c:f>
              <c:strCache>
                <c:ptCount val="5"/>
                <c:pt idx="0">
                  <c:v>50-50</c:v>
                </c:pt>
                <c:pt idx="1">
                  <c:v>40-60</c:v>
                </c:pt>
                <c:pt idx="2">
                  <c:v>30-70</c:v>
                </c:pt>
                <c:pt idx="3">
                  <c:v>20-80</c:v>
                </c:pt>
                <c:pt idx="4">
                  <c:v>10-90</c:v>
                </c:pt>
              </c:strCache>
            </c:strRef>
          </c:cat>
          <c:val>
            <c:numRef>
              <c:f>scenario2!$O$2:$O$6</c:f>
              <c:numCache>
                <c:formatCode>General</c:formatCode>
                <c:ptCount val="5"/>
                <c:pt idx="0">
                  <c:v>107.5</c:v>
                </c:pt>
                <c:pt idx="1">
                  <c:v>163.5</c:v>
                </c:pt>
                <c:pt idx="2">
                  <c:v>176.5</c:v>
                </c:pt>
                <c:pt idx="3">
                  <c:v>236.0</c:v>
                </c:pt>
                <c:pt idx="4">
                  <c:v>500.0</c:v>
                </c:pt>
              </c:numCache>
            </c:numRef>
          </c:val>
        </c:ser>
        <c:ser>
          <c:idx val="1"/>
          <c:order val="1"/>
          <c:tx>
            <c:strRef>
              <c:f>scenario2!$T$1</c:f>
              <c:strCache>
                <c:ptCount val="1"/>
                <c:pt idx="0">
                  <c:v>avg realtime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scenario2!$F$46:$F$50</c:f>
              <c:strCache>
                <c:ptCount val="5"/>
                <c:pt idx="0">
                  <c:v>50-50</c:v>
                </c:pt>
                <c:pt idx="1">
                  <c:v>40-60</c:v>
                </c:pt>
                <c:pt idx="2">
                  <c:v>30-70</c:v>
                </c:pt>
                <c:pt idx="3">
                  <c:v>20-80</c:v>
                </c:pt>
                <c:pt idx="4">
                  <c:v>10-90</c:v>
                </c:pt>
              </c:strCache>
            </c:strRef>
          </c:cat>
          <c:val>
            <c:numRef>
              <c:f>scenario2!$T$2:$T$6</c:f>
              <c:numCache>
                <c:formatCode>General</c:formatCode>
                <c:ptCount val="5"/>
                <c:pt idx="0">
                  <c:v>120.5</c:v>
                </c:pt>
                <c:pt idx="1">
                  <c:v>161.25</c:v>
                </c:pt>
                <c:pt idx="2">
                  <c:v>139.5</c:v>
                </c:pt>
                <c:pt idx="3">
                  <c:v>113.0</c:v>
                </c:pt>
                <c:pt idx="4">
                  <c:v>89.5</c:v>
                </c:pt>
              </c:numCache>
            </c:numRef>
          </c:val>
        </c:ser>
        <c:ser>
          <c:idx val="2"/>
          <c:order val="2"/>
          <c:tx>
            <c:strRef>
              <c:f>scenario2!$U$1</c:f>
              <c:strCache>
                <c:ptCount val="1"/>
                <c:pt idx="0">
                  <c:v>Total Exectution Time</c:v>
                </c:pt>
              </c:strCache>
            </c:strRef>
          </c:tx>
          <c:invertIfNegative val="0"/>
          <c:dLbls>
            <c:dLbl>
              <c:idx val="4"/>
              <c:layout/>
              <c:tx>
                <c:rich>
                  <a:bodyPr/>
                  <a:lstStyle/>
                  <a:p>
                    <a:r>
                      <a:rPr lang="en-US"/>
                      <a:t>timeout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scenario2!$F$46:$F$50</c:f>
              <c:strCache>
                <c:ptCount val="5"/>
                <c:pt idx="0">
                  <c:v>50-50</c:v>
                </c:pt>
                <c:pt idx="1">
                  <c:v>40-60</c:v>
                </c:pt>
                <c:pt idx="2">
                  <c:v>30-70</c:v>
                </c:pt>
                <c:pt idx="3">
                  <c:v>20-80</c:v>
                </c:pt>
                <c:pt idx="4">
                  <c:v>10-90</c:v>
                </c:pt>
              </c:strCache>
            </c:strRef>
          </c:cat>
          <c:val>
            <c:numRef>
              <c:f>scenario2!$U$2:$U$6</c:f>
              <c:numCache>
                <c:formatCode>General</c:formatCode>
                <c:ptCount val="5"/>
                <c:pt idx="0">
                  <c:v>330.0</c:v>
                </c:pt>
                <c:pt idx="1">
                  <c:v>345.0</c:v>
                </c:pt>
                <c:pt idx="2">
                  <c:v>351.0</c:v>
                </c:pt>
                <c:pt idx="3">
                  <c:v>299.0</c:v>
                </c:pt>
                <c:pt idx="4">
                  <c:v>500.0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11996904"/>
        <c:axId val="-2120799272"/>
      </c:barChart>
      <c:catAx>
        <c:axId val="-2111996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(batch to realtime) queue capacity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0799272"/>
        <c:crosses val="autoZero"/>
        <c:auto val="1"/>
        <c:lblAlgn val="ctr"/>
        <c:lblOffset val="100"/>
        <c:noMultiLvlLbl val="0"/>
      </c:catAx>
      <c:valAx>
        <c:axId val="-21207992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in Seconds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119969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performance in different max capacity setting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30-70</c:v>
          </c:tx>
          <c:invertIfNegative val="0"/>
          <c:cat>
            <c:strRef>
              <c:f>('scenario 2 plot'!$H$71,'scenario 2 plot'!$M$71,'scenario 2 plot'!$N$71)</c:f>
              <c:strCache>
                <c:ptCount val="3"/>
                <c:pt idx="0">
                  <c:v>avg batch </c:v>
                </c:pt>
                <c:pt idx="1">
                  <c:v>avg realtime</c:v>
                </c:pt>
                <c:pt idx="2">
                  <c:v>Total Exectution Time</c:v>
                </c:pt>
              </c:strCache>
            </c:strRef>
          </c:cat>
          <c:val>
            <c:numRef>
              <c:f>('scenario 2 plot'!$H$72,'scenario 2 plot'!$M$72,'scenario 2 plot'!$N$72)</c:f>
              <c:numCache>
                <c:formatCode>General</c:formatCode>
                <c:ptCount val="3"/>
                <c:pt idx="0">
                  <c:v>176.5</c:v>
                </c:pt>
                <c:pt idx="1">
                  <c:v>139.5</c:v>
                </c:pt>
                <c:pt idx="2">
                  <c:v>351.0</c:v>
                </c:pt>
              </c:numCache>
            </c:numRef>
          </c:val>
        </c:ser>
        <c:ser>
          <c:idx val="1"/>
          <c:order val="1"/>
          <c:tx>
            <c:v>30-80</c:v>
          </c:tx>
          <c:invertIfNegative val="0"/>
          <c:cat>
            <c:strRef>
              <c:f>('scenario 2 plot'!$H$71,'scenario 2 plot'!$M$71,'scenario 2 plot'!$N$71)</c:f>
              <c:strCache>
                <c:ptCount val="3"/>
                <c:pt idx="0">
                  <c:v>avg batch </c:v>
                </c:pt>
                <c:pt idx="1">
                  <c:v>avg realtime</c:v>
                </c:pt>
                <c:pt idx="2">
                  <c:v>Total Exectution Time</c:v>
                </c:pt>
              </c:strCache>
            </c:strRef>
          </c:cat>
          <c:val>
            <c:numRef>
              <c:f>('scenario 2 plot'!$H$73,'scenario 2 plot'!$M$73,'scenario 2 plot'!$N$73)</c:f>
              <c:numCache>
                <c:formatCode>General</c:formatCode>
                <c:ptCount val="3"/>
                <c:pt idx="0">
                  <c:v>206.0</c:v>
                </c:pt>
                <c:pt idx="1">
                  <c:v>141.0</c:v>
                </c:pt>
                <c:pt idx="2">
                  <c:v>329.0</c:v>
                </c:pt>
              </c:numCache>
            </c:numRef>
          </c:val>
        </c:ser>
        <c:ser>
          <c:idx val="2"/>
          <c:order val="2"/>
          <c:tx>
            <c:v>30-90</c:v>
          </c:tx>
          <c:invertIfNegative val="0"/>
          <c:cat>
            <c:strRef>
              <c:f>('scenario 2 plot'!$H$71,'scenario 2 plot'!$M$71,'scenario 2 plot'!$N$71)</c:f>
              <c:strCache>
                <c:ptCount val="3"/>
                <c:pt idx="0">
                  <c:v>avg batch </c:v>
                </c:pt>
                <c:pt idx="1">
                  <c:v>avg realtime</c:v>
                </c:pt>
                <c:pt idx="2">
                  <c:v>Total Exectution Time</c:v>
                </c:pt>
              </c:strCache>
            </c:strRef>
          </c:cat>
          <c:val>
            <c:numRef>
              <c:f>('scenario 2 plot'!$H$74,'scenario 2 plot'!$M$74,'scenario 2 plot'!$N$74)</c:f>
              <c:numCache>
                <c:formatCode>General</c:formatCode>
                <c:ptCount val="3"/>
                <c:pt idx="0">
                  <c:v>220.5</c:v>
                </c:pt>
                <c:pt idx="1">
                  <c:v>121.75</c:v>
                </c:pt>
                <c:pt idx="2">
                  <c:v>323.0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2111897064"/>
        <c:axId val="2137725208"/>
      </c:barChart>
      <c:catAx>
        <c:axId val="-2111897064"/>
        <c:scaling>
          <c:orientation val="minMax"/>
        </c:scaling>
        <c:delete val="0"/>
        <c:axPos val="b"/>
        <c:majorTickMark val="out"/>
        <c:minorTickMark val="none"/>
        <c:tickLblPos val="nextTo"/>
        <c:crossAx val="2137725208"/>
        <c:crosses val="autoZero"/>
        <c:auto val="1"/>
        <c:lblAlgn val="ctr"/>
        <c:lblOffset val="100"/>
        <c:noMultiLvlLbl val="0"/>
      </c:catAx>
      <c:valAx>
        <c:axId val="2137725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18970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performances in different schedulin mechanisms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'scenario 1 sched'!$V$1</c:f>
              <c:strCache>
                <c:ptCount val="1"/>
                <c:pt idx="0">
                  <c:v>Total Exectution Time (mem)</c:v>
                </c:pt>
              </c:strCache>
            </c:strRef>
          </c:tx>
          <c:invertIfNegative val="0"/>
          <c:dLbls>
            <c:dLbl>
              <c:idx val="4"/>
              <c:layout/>
              <c:tx>
                <c:rich>
                  <a:bodyPr/>
                  <a:lstStyle/>
                  <a:p>
                    <a:r>
                      <a:rPr lang="en-US"/>
                      <a:t>timeout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'scenario 1 sched'!$B$2:$B$6</c:f>
              <c:numCache>
                <c:formatCode>General</c:formatCode>
                <c:ptCount val="5"/>
                <c:pt idx="0">
                  <c:v>50.0</c:v>
                </c:pt>
                <c:pt idx="1">
                  <c:v>60.0</c:v>
                </c:pt>
                <c:pt idx="2">
                  <c:v>70.0</c:v>
                </c:pt>
                <c:pt idx="3">
                  <c:v>80.0</c:v>
                </c:pt>
                <c:pt idx="4">
                  <c:v>90.0</c:v>
                </c:pt>
              </c:numCache>
            </c:numRef>
          </c:cat>
          <c:val>
            <c:numRef>
              <c:f>'scenario 1 sched'!$V$2:$V$6</c:f>
              <c:numCache>
                <c:formatCode>General</c:formatCode>
                <c:ptCount val="5"/>
                <c:pt idx="0">
                  <c:v>392.0</c:v>
                </c:pt>
                <c:pt idx="1">
                  <c:v>342.0</c:v>
                </c:pt>
                <c:pt idx="2">
                  <c:v>362.0</c:v>
                </c:pt>
                <c:pt idx="3">
                  <c:v>385.0</c:v>
                </c:pt>
                <c:pt idx="4">
                  <c:v>500.0</c:v>
                </c:pt>
              </c:numCache>
            </c:numRef>
          </c:val>
        </c:ser>
        <c:ser>
          <c:idx val="1"/>
          <c:order val="1"/>
          <c:tx>
            <c:strRef>
              <c:f>'scenario 1 sched'!$Z$1</c:f>
              <c:strCache>
                <c:ptCount val="1"/>
                <c:pt idx="0">
                  <c:v>Total Exectution Time (CPU)</c:v>
                </c:pt>
              </c:strCache>
            </c:strRef>
          </c:tx>
          <c:invertIfNegative val="0"/>
          <c:dLbls>
            <c:dLbl>
              <c:idx val="4"/>
              <c:layout/>
              <c:tx>
                <c:rich>
                  <a:bodyPr/>
                  <a:lstStyle/>
                  <a:p>
                    <a:r>
                      <a:rPr lang="en-US"/>
                      <a:t>timeout</a:t>
                    </a:r>
                  </a:p>
                  <a:p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'scenario 1 sched'!$B$2:$B$6</c:f>
              <c:numCache>
                <c:formatCode>General</c:formatCode>
                <c:ptCount val="5"/>
                <c:pt idx="0">
                  <c:v>50.0</c:v>
                </c:pt>
                <c:pt idx="1">
                  <c:v>60.0</c:v>
                </c:pt>
                <c:pt idx="2">
                  <c:v>70.0</c:v>
                </c:pt>
                <c:pt idx="3">
                  <c:v>80.0</c:v>
                </c:pt>
                <c:pt idx="4">
                  <c:v>90.0</c:v>
                </c:pt>
              </c:numCache>
            </c:numRef>
          </c:cat>
          <c:val>
            <c:numRef>
              <c:f>'scenario 1 sched'!$Z$2:$Z$6</c:f>
              <c:numCache>
                <c:formatCode>General</c:formatCode>
                <c:ptCount val="5"/>
                <c:pt idx="0">
                  <c:v>411.0</c:v>
                </c:pt>
                <c:pt idx="1">
                  <c:v>356.0</c:v>
                </c:pt>
                <c:pt idx="2">
                  <c:v>362.0</c:v>
                </c:pt>
                <c:pt idx="3">
                  <c:v>343.0</c:v>
                </c:pt>
                <c:pt idx="4">
                  <c:v>500.0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2116626632"/>
        <c:axId val="-2107458936"/>
      </c:barChart>
      <c:catAx>
        <c:axId val="-2116626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batch queue capacity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07458936"/>
        <c:crosses val="autoZero"/>
        <c:auto val="1"/>
        <c:lblAlgn val="ctr"/>
        <c:lblOffset val="100"/>
        <c:noMultiLvlLbl val="0"/>
      </c:catAx>
      <c:valAx>
        <c:axId val="-2107458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66266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max capacity = capacity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scenario1!$R$1</c:f>
              <c:strCache>
                <c:ptCount val="1"/>
                <c:pt idx="0">
                  <c:v>avg batch </c:v>
                </c:pt>
              </c:strCache>
            </c:strRef>
          </c:tx>
          <c:invertIfNegative val="0"/>
          <c:cat>
            <c:strRef>
              <c:f>scenario1!$F$58:$F$62</c:f>
              <c:strCache>
                <c:ptCount val="5"/>
                <c:pt idx="0">
                  <c:v>50-50</c:v>
                </c:pt>
                <c:pt idx="1">
                  <c:v>60-40</c:v>
                </c:pt>
                <c:pt idx="2">
                  <c:v>70-30</c:v>
                </c:pt>
                <c:pt idx="3">
                  <c:v>80-20</c:v>
                </c:pt>
                <c:pt idx="4">
                  <c:v>90-10</c:v>
                </c:pt>
              </c:strCache>
            </c:strRef>
          </c:cat>
          <c:val>
            <c:numRef>
              <c:f>scenario1!$R$2:$R$6</c:f>
              <c:numCache>
                <c:formatCode>General</c:formatCode>
                <c:ptCount val="5"/>
                <c:pt idx="0">
                  <c:v>187.0</c:v>
                </c:pt>
                <c:pt idx="1">
                  <c:v>121.8</c:v>
                </c:pt>
                <c:pt idx="2">
                  <c:v>126.6</c:v>
                </c:pt>
                <c:pt idx="3">
                  <c:v>118.2</c:v>
                </c:pt>
                <c:pt idx="4">
                  <c:v>107.2</c:v>
                </c:pt>
              </c:numCache>
            </c:numRef>
          </c:val>
        </c:ser>
        <c:ser>
          <c:idx val="1"/>
          <c:order val="1"/>
          <c:tx>
            <c:strRef>
              <c:f>scenario1!$U$1</c:f>
              <c:strCache>
                <c:ptCount val="1"/>
                <c:pt idx="0">
                  <c:v>avg realtime</c:v>
                </c:pt>
              </c:strCache>
            </c:strRef>
          </c:tx>
          <c:invertIfNegative val="0"/>
          <c:dLbls>
            <c:dLbl>
              <c:idx val="4"/>
              <c:layout/>
              <c:tx>
                <c:rich>
                  <a:bodyPr/>
                  <a:lstStyle/>
                  <a:p>
                    <a:r>
                      <a:rPr lang="en-US"/>
                      <a:t>timeout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scenario1!$F$58:$F$62</c:f>
              <c:strCache>
                <c:ptCount val="5"/>
                <c:pt idx="0">
                  <c:v>50-50</c:v>
                </c:pt>
                <c:pt idx="1">
                  <c:v>60-40</c:v>
                </c:pt>
                <c:pt idx="2">
                  <c:v>70-30</c:v>
                </c:pt>
                <c:pt idx="3">
                  <c:v>80-20</c:v>
                </c:pt>
                <c:pt idx="4">
                  <c:v>90-10</c:v>
                </c:pt>
              </c:strCache>
            </c:strRef>
          </c:cat>
          <c:val>
            <c:numRef>
              <c:f>scenario1!$U$2:$U$6</c:f>
              <c:numCache>
                <c:formatCode>General</c:formatCode>
                <c:ptCount val="5"/>
                <c:pt idx="0">
                  <c:v>180.0</c:v>
                </c:pt>
                <c:pt idx="1">
                  <c:v>166.5</c:v>
                </c:pt>
                <c:pt idx="2">
                  <c:v>235.0</c:v>
                </c:pt>
                <c:pt idx="3">
                  <c:v>231.0</c:v>
                </c:pt>
                <c:pt idx="4">
                  <c:v>500.0</c:v>
                </c:pt>
              </c:numCache>
            </c:numRef>
          </c:val>
        </c:ser>
        <c:ser>
          <c:idx val="2"/>
          <c:order val="2"/>
          <c:tx>
            <c:strRef>
              <c:f>scenario1!$V$1</c:f>
              <c:strCache>
                <c:ptCount val="1"/>
                <c:pt idx="0">
                  <c:v>Total Exectution Time</c:v>
                </c:pt>
              </c:strCache>
            </c:strRef>
          </c:tx>
          <c:invertIfNegative val="0"/>
          <c:dLbls>
            <c:dLbl>
              <c:idx val="4"/>
              <c:layout/>
              <c:tx>
                <c:rich>
                  <a:bodyPr/>
                  <a:lstStyle/>
                  <a:p>
                    <a:r>
                      <a:rPr lang="en-US"/>
                      <a:t>timeout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scenario1!$F$58:$F$62</c:f>
              <c:strCache>
                <c:ptCount val="5"/>
                <c:pt idx="0">
                  <c:v>50-50</c:v>
                </c:pt>
                <c:pt idx="1">
                  <c:v>60-40</c:v>
                </c:pt>
                <c:pt idx="2">
                  <c:v>70-30</c:v>
                </c:pt>
                <c:pt idx="3">
                  <c:v>80-20</c:v>
                </c:pt>
                <c:pt idx="4">
                  <c:v>90-10</c:v>
                </c:pt>
              </c:strCache>
            </c:strRef>
          </c:cat>
          <c:val>
            <c:numRef>
              <c:f>scenario1!$V$2:$V$6</c:f>
              <c:numCache>
                <c:formatCode>General</c:formatCode>
                <c:ptCount val="5"/>
                <c:pt idx="0">
                  <c:v>392.0</c:v>
                </c:pt>
                <c:pt idx="1">
                  <c:v>342.0</c:v>
                </c:pt>
                <c:pt idx="2">
                  <c:v>362.0</c:v>
                </c:pt>
                <c:pt idx="3">
                  <c:v>385.0</c:v>
                </c:pt>
                <c:pt idx="4">
                  <c:v>500.0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133091432"/>
        <c:axId val="-2120098024"/>
      </c:barChart>
      <c:catAx>
        <c:axId val="2133091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(batch - realtime) queue capacity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20098024"/>
        <c:crosses val="autoZero"/>
        <c:auto val="1"/>
        <c:lblAlgn val="ctr"/>
        <c:lblOffset val="100"/>
        <c:noMultiLvlLbl val="0"/>
      </c:catAx>
      <c:valAx>
        <c:axId val="-21200980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in Seconds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30914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capacity</a:t>
            </a:r>
            <a:r>
              <a:rPr lang="en-US" baseline="0"/>
              <a:t> 50%-50%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50-50</c:v>
          </c:tx>
          <c:invertIfNegative val="0"/>
          <c:cat>
            <c:strRef>
              <c:f>('scenario 1 plot'!$L$3,'scenario 1 plot'!$O$3,'scenario 1 plot'!$P$3)</c:f>
              <c:strCache>
                <c:ptCount val="3"/>
                <c:pt idx="0">
                  <c:v>avg batch </c:v>
                </c:pt>
                <c:pt idx="1">
                  <c:v>avg realtime</c:v>
                </c:pt>
                <c:pt idx="2">
                  <c:v>Total Exectution Time</c:v>
                </c:pt>
              </c:strCache>
            </c:strRef>
          </c:cat>
          <c:val>
            <c:numRef>
              <c:f>('scenario 1 plot'!$L$4,'scenario 1 plot'!$O$4,'scenario 1 plot'!$P$4)</c:f>
              <c:numCache>
                <c:formatCode>General</c:formatCode>
                <c:ptCount val="3"/>
                <c:pt idx="0">
                  <c:v>187.0</c:v>
                </c:pt>
                <c:pt idx="1">
                  <c:v>180.0</c:v>
                </c:pt>
                <c:pt idx="2">
                  <c:v>392.0</c:v>
                </c:pt>
              </c:numCache>
            </c:numRef>
          </c:val>
        </c:ser>
        <c:ser>
          <c:idx val="1"/>
          <c:order val="1"/>
          <c:tx>
            <c:v>60-50</c:v>
          </c:tx>
          <c:invertIfNegative val="0"/>
          <c:cat>
            <c:strRef>
              <c:f>('scenario 1 plot'!$L$3,'scenario 1 plot'!$O$3,'scenario 1 plot'!$P$3)</c:f>
              <c:strCache>
                <c:ptCount val="3"/>
                <c:pt idx="0">
                  <c:v>avg batch </c:v>
                </c:pt>
                <c:pt idx="1">
                  <c:v>avg realtime</c:v>
                </c:pt>
                <c:pt idx="2">
                  <c:v>Total Exectution Time</c:v>
                </c:pt>
              </c:strCache>
            </c:strRef>
          </c:cat>
          <c:val>
            <c:numRef>
              <c:f>('scenario 1 plot'!$L$5,'scenario 1 plot'!$O$5,'scenario 1 plot'!$P$5)</c:f>
              <c:numCache>
                <c:formatCode>General</c:formatCode>
                <c:ptCount val="3"/>
                <c:pt idx="0">
                  <c:v>147.6</c:v>
                </c:pt>
                <c:pt idx="1">
                  <c:v>186.0</c:v>
                </c:pt>
                <c:pt idx="2">
                  <c:v>372.0</c:v>
                </c:pt>
              </c:numCache>
            </c:numRef>
          </c:val>
        </c:ser>
        <c:ser>
          <c:idx val="2"/>
          <c:order val="2"/>
          <c:tx>
            <c:v>70-50</c:v>
          </c:tx>
          <c:invertIfNegative val="0"/>
          <c:cat>
            <c:strRef>
              <c:f>('scenario 1 plot'!$L$3,'scenario 1 plot'!$O$3,'scenario 1 plot'!$P$3)</c:f>
              <c:strCache>
                <c:ptCount val="3"/>
                <c:pt idx="0">
                  <c:v>avg batch </c:v>
                </c:pt>
                <c:pt idx="1">
                  <c:v>avg realtime</c:v>
                </c:pt>
                <c:pt idx="2">
                  <c:v>Total Exectution Time</c:v>
                </c:pt>
              </c:strCache>
            </c:strRef>
          </c:cat>
          <c:val>
            <c:numRef>
              <c:f>('scenario 1 plot'!$L$6,'scenario 1 plot'!$O$6,'scenario 1 plot'!$P$6)</c:f>
              <c:numCache>
                <c:formatCode>General</c:formatCode>
                <c:ptCount val="3"/>
                <c:pt idx="0">
                  <c:v>155.2</c:v>
                </c:pt>
                <c:pt idx="1">
                  <c:v>135.5</c:v>
                </c:pt>
                <c:pt idx="2">
                  <c:v>371.0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14839848"/>
        <c:axId val="-2114068776"/>
      </c:barChart>
      <c:catAx>
        <c:axId val="-2114839848"/>
        <c:scaling>
          <c:orientation val="minMax"/>
        </c:scaling>
        <c:delete val="0"/>
        <c:axPos val="b"/>
        <c:majorTickMark val="none"/>
        <c:minorTickMark val="none"/>
        <c:tickLblPos val="nextTo"/>
        <c:crossAx val="-2114068776"/>
        <c:crosses val="autoZero"/>
        <c:auto val="1"/>
        <c:lblAlgn val="ctr"/>
        <c:lblOffset val="100"/>
        <c:noMultiLvlLbl val="0"/>
      </c:catAx>
      <c:valAx>
        <c:axId val="-211406877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-21148398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60-40</c:v>
          </c:tx>
          <c:invertIfNegative val="0"/>
          <c:cat>
            <c:strRef>
              <c:f>('scenario 1 plot'!$L$46,'scenario 1 plot'!$O$46,'scenario 1 plot'!$P$46)</c:f>
              <c:strCache>
                <c:ptCount val="3"/>
                <c:pt idx="0">
                  <c:v>avg batch </c:v>
                </c:pt>
                <c:pt idx="1">
                  <c:v>avg realtime</c:v>
                </c:pt>
                <c:pt idx="2">
                  <c:v>Total Exectution Time</c:v>
                </c:pt>
              </c:strCache>
            </c:strRef>
          </c:cat>
          <c:val>
            <c:numRef>
              <c:f>('scenario 1 plot'!$L$47,'scenario 1 plot'!$O$47,'scenario 1 plot'!$P$47)</c:f>
              <c:numCache>
                <c:formatCode>General</c:formatCode>
                <c:ptCount val="3"/>
                <c:pt idx="0">
                  <c:v>121.8</c:v>
                </c:pt>
                <c:pt idx="1">
                  <c:v>166.5</c:v>
                </c:pt>
                <c:pt idx="2">
                  <c:v>342.0</c:v>
                </c:pt>
              </c:numCache>
            </c:numRef>
          </c:val>
        </c:ser>
        <c:ser>
          <c:idx val="1"/>
          <c:order val="1"/>
          <c:tx>
            <c:v>70-40</c:v>
          </c:tx>
          <c:invertIfNegative val="0"/>
          <c:cat>
            <c:strRef>
              <c:f>('scenario 1 plot'!$L$46,'scenario 1 plot'!$O$46,'scenario 1 plot'!$P$46)</c:f>
              <c:strCache>
                <c:ptCount val="3"/>
                <c:pt idx="0">
                  <c:v>avg batch </c:v>
                </c:pt>
                <c:pt idx="1">
                  <c:v>avg realtime</c:v>
                </c:pt>
                <c:pt idx="2">
                  <c:v>Total Exectution Time</c:v>
                </c:pt>
              </c:strCache>
            </c:strRef>
          </c:cat>
          <c:val>
            <c:numRef>
              <c:f>('scenario 1 plot'!$L$48,'scenario 1 plot'!$O$48,'scenario 1 plot'!$P$48)</c:f>
              <c:numCache>
                <c:formatCode>General</c:formatCode>
                <c:ptCount val="3"/>
                <c:pt idx="0">
                  <c:v>138.2</c:v>
                </c:pt>
                <c:pt idx="1">
                  <c:v>143.5</c:v>
                </c:pt>
                <c:pt idx="2">
                  <c:v>331.0</c:v>
                </c:pt>
              </c:numCache>
            </c:numRef>
          </c:val>
        </c:ser>
        <c:ser>
          <c:idx val="2"/>
          <c:order val="2"/>
          <c:tx>
            <c:v>80-40</c:v>
          </c:tx>
          <c:invertIfNegative val="0"/>
          <c:cat>
            <c:strRef>
              <c:f>('scenario 1 plot'!$L$46,'scenario 1 plot'!$O$46,'scenario 1 plot'!$P$46)</c:f>
              <c:strCache>
                <c:ptCount val="3"/>
                <c:pt idx="0">
                  <c:v>avg batch </c:v>
                </c:pt>
                <c:pt idx="1">
                  <c:v>avg realtime</c:v>
                </c:pt>
                <c:pt idx="2">
                  <c:v>Total Exectution Time</c:v>
                </c:pt>
              </c:strCache>
            </c:strRef>
          </c:cat>
          <c:val>
            <c:numRef>
              <c:f>('scenario 1 plot'!$L$49,'scenario 1 plot'!$O$49,'scenario 1 plot'!$P$49)</c:f>
              <c:numCache>
                <c:formatCode>General</c:formatCode>
                <c:ptCount val="3"/>
                <c:pt idx="0">
                  <c:v>153.0</c:v>
                </c:pt>
                <c:pt idx="1">
                  <c:v>203.0</c:v>
                </c:pt>
                <c:pt idx="2">
                  <c:v>370.0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12254072"/>
        <c:axId val="-2115713624"/>
      </c:barChart>
      <c:catAx>
        <c:axId val="-21122540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5713624"/>
        <c:crosses val="autoZero"/>
        <c:auto val="1"/>
        <c:lblAlgn val="ctr"/>
        <c:lblOffset val="100"/>
        <c:noMultiLvlLbl val="0"/>
      </c:catAx>
      <c:valAx>
        <c:axId val="-2115713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22540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performance in</a:t>
            </a:r>
            <a:r>
              <a:rPr lang="en-US" baseline="0"/>
              <a:t> different max capacity setting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70-30</c:v>
          </c:tx>
          <c:invertIfNegative val="0"/>
          <c:cat>
            <c:strRef>
              <c:f>('scenario 1 plot'!$L$89,'scenario 1 plot'!$O$89,'scenario 1 plot'!$P$89)</c:f>
              <c:strCache>
                <c:ptCount val="3"/>
                <c:pt idx="0">
                  <c:v>avg batch </c:v>
                </c:pt>
                <c:pt idx="1">
                  <c:v>avg realtime</c:v>
                </c:pt>
                <c:pt idx="2">
                  <c:v>Total Exectution Time</c:v>
                </c:pt>
              </c:strCache>
            </c:strRef>
          </c:cat>
          <c:val>
            <c:numRef>
              <c:f>('scenario 1 plot'!$L$90,'scenario 1 plot'!$O$90,'scenario 1 plot'!$P$90)</c:f>
              <c:numCache>
                <c:formatCode>General</c:formatCode>
                <c:ptCount val="3"/>
                <c:pt idx="0">
                  <c:v>126.6</c:v>
                </c:pt>
                <c:pt idx="1">
                  <c:v>235.0</c:v>
                </c:pt>
                <c:pt idx="2">
                  <c:v>362.0</c:v>
                </c:pt>
              </c:numCache>
            </c:numRef>
          </c:val>
        </c:ser>
        <c:ser>
          <c:idx val="1"/>
          <c:order val="1"/>
          <c:tx>
            <c:v>70-40</c:v>
          </c:tx>
          <c:invertIfNegative val="0"/>
          <c:cat>
            <c:strRef>
              <c:f>('scenario 1 plot'!$L$89,'scenario 1 plot'!$O$89,'scenario 1 plot'!$P$89)</c:f>
              <c:strCache>
                <c:ptCount val="3"/>
                <c:pt idx="0">
                  <c:v>avg batch </c:v>
                </c:pt>
                <c:pt idx="1">
                  <c:v>avg realtime</c:v>
                </c:pt>
                <c:pt idx="2">
                  <c:v>Total Exectution Time</c:v>
                </c:pt>
              </c:strCache>
            </c:strRef>
          </c:cat>
          <c:val>
            <c:numRef>
              <c:f>('scenario 1 plot'!$L$91,'scenario 1 plot'!$O$91,'scenario 1 plot'!$P$91)</c:f>
              <c:numCache>
                <c:formatCode>General</c:formatCode>
                <c:ptCount val="3"/>
                <c:pt idx="0">
                  <c:v>123.6</c:v>
                </c:pt>
                <c:pt idx="1">
                  <c:v>125.0</c:v>
                </c:pt>
                <c:pt idx="2">
                  <c:v>315.0</c:v>
                </c:pt>
              </c:numCache>
            </c:numRef>
          </c:val>
        </c:ser>
        <c:ser>
          <c:idx val="2"/>
          <c:order val="2"/>
          <c:tx>
            <c:v>70-50</c:v>
          </c:tx>
          <c:invertIfNegative val="0"/>
          <c:cat>
            <c:strRef>
              <c:f>('scenario 1 plot'!$L$89,'scenario 1 plot'!$O$89,'scenario 1 plot'!$P$89)</c:f>
              <c:strCache>
                <c:ptCount val="3"/>
                <c:pt idx="0">
                  <c:v>avg batch </c:v>
                </c:pt>
                <c:pt idx="1">
                  <c:v>avg realtime</c:v>
                </c:pt>
                <c:pt idx="2">
                  <c:v>Total Exectution Time</c:v>
                </c:pt>
              </c:strCache>
            </c:strRef>
          </c:cat>
          <c:val>
            <c:numRef>
              <c:f>('scenario 1 plot'!$L$92,'scenario 1 plot'!$O$92,'scenario 1 plot'!$P$92)</c:f>
              <c:numCache>
                <c:formatCode>General</c:formatCode>
                <c:ptCount val="3"/>
                <c:pt idx="0">
                  <c:v>125.6</c:v>
                </c:pt>
                <c:pt idx="1">
                  <c:v>179.0</c:v>
                </c:pt>
                <c:pt idx="2">
                  <c:v>333.0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2118295512"/>
        <c:axId val="-2110611736"/>
      </c:barChart>
      <c:catAx>
        <c:axId val="-21182955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0611736"/>
        <c:crosses val="autoZero"/>
        <c:auto val="1"/>
        <c:lblAlgn val="ctr"/>
        <c:lblOffset val="100"/>
        <c:noMultiLvlLbl val="0"/>
      </c:catAx>
      <c:valAx>
        <c:axId val="-2110611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82955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performance in different max capacity setting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80-20</c:v>
          </c:tx>
          <c:invertIfNegative val="0"/>
          <c:cat>
            <c:strRef>
              <c:f>('scenario 1 plot'!$L$131,'scenario 1 plot'!$O$131:$P$131)</c:f>
              <c:strCache>
                <c:ptCount val="3"/>
                <c:pt idx="0">
                  <c:v>avg batch </c:v>
                </c:pt>
                <c:pt idx="1">
                  <c:v>avg realtime</c:v>
                </c:pt>
                <c:pt idx="2">
                  <c:v>Total Exectution Time</c:v>
                </c:pt>
              </c:strCache>
            </c:strRef>
          </c:cat>
          <c:val>
            <c:numRef>
              <c:f>('scenario 1 plot'!$L$132,'scenario 1 plot'!$O$132:$P$132)</c:f>
              <c:numCache>
                <c:formatCode>General</c:formatCode>
                <c:ptCount val="3"/>
                <c:pt idx="0">
                  <c:v>118.2</c:v>
                </c:pt>
                <c:pt idx="1">
                  <c:v>231.0</c:v>
                </c:pt>
                <c:pt idx="2">
                  <c:v>385.0</c:v>
                </c:pt>
              </c:numCache>
            </c:numRef>
          </c:val>
        </c:ser>
        <c:ser>
          <c:idx val="1"/>
          <c:order val="1"/>
          <c:tx>
            <c:v>80-30</c:v>
          </c:tx>
          <c:invertIfNegative val="0"/>
          <c:cat>
            <c:strRef>
              <c:f>('scenario 1 plot'!$L$131,'scenario 1 plot'!$O$131:$P$131)</c:f>
              <c:strCache>
                <c:ptCount val="3"/>
                <c:pt idx="0">
                  <c:v>avg batch </c:v>
                </c:pt>
                <c:pt idx="1">
                  <c:v>avg realtime</c:v>
                </c:pt>
                <c:pt idx="2">
                  <c:v>Total Exectution Time</c:v>
                </c:pt>
              </c:strCache>
            </c:strRef>
          </c:cat>
          <c:val>
            <c:numRef>
              <c:f>('scenario 1 plot'!$L$133,'scenario 1 plot'!$O$133:$P$133)</c:f>
              <c:numCache>
                <c:formatCode>General</c:formatCode>
                <c:ptCount val="3"/>
                <c:pt idx="0">
                  <c:v>104.8</c:v>
                </c:pt>
                <c:pt idx="1">
                  <c:v>236.0</c:v>
                </c:pt>
                <c:pt idx="2">
                  <c:v>327.0</c:v>
                </c:pt>
              </c:numCache>
            </c:numRef>
          </c:val>
        </c:ser>
        <c:ser>
          <c:idx val="2"/>
          <c:order val="2"/>
          <c:tx>
            <c:v>80-40</c:v>
          </c:tx>
          <c:invertIfNegative val="0"/>
          <c:cat>
            <c:strRef>
              <c:f>('scenario 1 plot'!$L$131,'scenario 1 plot'!$O$131:$P$131)</c:f>
              <c:strCache>
                <c:ptCount val="3"/>
                <c:pt idx="0">
                  <c:v>avg batch </c:v>
                </c:pt>
                <c:pt idx="1">
                  <c:v>avg realtime</c:v>
                </c:pt>
                <c:pt idx="2">
                  <c:v>Total Exectution Time</c:v>
                </c:pt>
              </c:strCache>
            </c:strRef>
          </c:cat>
          <c:val>
            <c:numRef>
              <c:f>('scenario 1 plot'!$L$134,'scenario 1 plot'!$O$134:$P$134)</c:f>
              <c:numCache>
                <c:formatCode>General</c:formatCode>
                <c:ptCount val="3"/>
                <c:pt idx="0">
                  <c:v>130.8</c:v>
                </c:pt>
                <c:pt idx="1">
                  <c:v>198.5</c:v>
                </c:pt>
                <c:pt idx="2">
                  <c:v>364.0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2114297352"/>
        <c:axId val="-2116795416"/>
      </c:barChart>
      <c:catAx>
        <c:axId val="-21142973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6795416"/>
        <c:crosses val="autoZero"/>
        <c:auto val="1"/>
        <c:lblAlgn val="ctr"/>
        <c:lblOffset val="100"/>
        <c:noMultiLvlLbl val="0"/>
      </c:catAx>
      <c:valAx>
        <c:axId val="-2116795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42973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performance in different max capacity setting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50-50</c:v>
          </c:tx>
          <c:invertIfNegative val="0"/>
          <c:cat>
            <c:strRef>
              <c:f>('scenario 2 plot'!$H$1,'scenario 2 plot'!$M$1,'scenario 2 plot'!$N$1)</c:f>
              <c:strCache>
                <c:ptCount val="3"/>
                <c:pt idx="0">
                  <c:v>avg batch </c:v>
                </c:pt>
                <c:pt idx="1">
                  <c:v>avg realtime</c:v>
                </c:pt>
                <c:pt idx="2">
                  <c:v>Total Exectution Time</c:v>
                </c:pt>
              </c:strCache>
            </c:strRef>
          </c:cat>
          <c:val>
            <c:numRef>
              <c:f>('scenario 2 plot'!$H$2,'scenario 2 plot'!$M$2,'scenario 2 plot'!$N$2)</c:f>
              <c:numCache>
                <c:formatCode>General</c:formatCode>
                <c:ptCount val="3"/>
                <c:pt idx="0">
                  <c:v>107.5</c:v>
                </c:pt>
                <c:pt idx="1">
                  <c:v>120.5</c:v>
                </c:pt>
                <c:pt idx="2">
                  <c:v>330.0</c:v>
                </c:pt>
              </c:numCache>
            </c:numRef>
          </c:val>
        </c:ser>
        <c:ser>
          <c:idx val="1"/>
          <c:order val="1"/>
          <c:tx>
            <c:v>50-60</c:v>
          </c:tx>
          <c:invertIfNegative val="0"/>
          <c:cat>
            <c:strRef>
              <c:f>('scenario 2 plot'!$H$1,'scenario 2 plot'!$M$1,'scenario 2 plot'!$N$1)</c:f>
              <c:strCache>
                <c:ptCount val="3"/>
                <c:pt idx="0">
                  <c:v>avg batch </c:v>
                </c:pt>
                <c:pt idx="1">
                  <c:v>avg realtime</c:v>
                </c:pt>
                <c:pt idx="2">
                  <c:v>Total Exectution Time</c:v>
                </c:pt>
              </c:strCache>
            </c:strRef>
          </c:cat>
          <c:val>
            <c:numRef>
              <c:f>('scenario 2 plot'!$H$3,'scenario 2 plot'!$M$3,'scenario 2 plot'!$N$3)</c:f>
              <c:numCache>
                <c:formatCode>General</c:formatCode>
                <c:ptCount val="3"/>
                <c:pt idx="0">
                  <c:v>116.0</c:v>
                </c:pt>
                <c:pt idx="1">
                  <c:v>144.25</c:v>
                </c:pt>
                <c:pt idx="2">
                  <c:v>337.0</c:v>
                </c:pt>
              </c:numCache>
            </c:numRef>
          </c:val>
        </c:ser>
        <c:ser>
          <c:idx val="2"/>
          <c:order val="2"/>
          <c:tx>
            <c:v>50-70</c:v>
          </c:tx>
          <c:invertIfNegative val="0"/>
          <c:cat>
            <c:strRef>
              <c:f>('scenario 2 plot'!$H$1,'scenario 2 plot'!$M$1,'scenario 2 plot'!$N$1)</c:f>
              <c:strCache>
                <c:ptCount val="3"/>
                <c:pt idx="0">
                  <c:v>avg batch </c:v>
                </c:pt>
                <c:pt idx="1">
                  <c:v>avg realtime</c:v>
                </c:pt>
                <c:pt idx="2">
                  <c:v>Total Exectution Time</c:v>
                </c:pt>
              </c:strCache>
            </c:strRef>
          </c:cat>
          <c:val>
            <c:numRef>
              <c:f>('scenario 2 plot'!$H$4,'scenario 2 plot'!$M$4,'scenario 2 plot'!$N$4)</c:f>
              <c:numCache>
                <c:formatCode>General</c:formatCode>
                <c:ptCount val="3"/>
                <c:pt idx="0">
                  <c:v>142.5</c:v>
                </c:pt>
                <c:pt idx="1">
                  <c:v>135.75</c:v>
                </c:pt>
                <c:pt idx="2">
                  <c:v>343.0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134759512"/>
        <c:axId val="-2109956136"/>
      </c:barChart>
      <c:catAx>
        <c:axId val="21347595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9956136"/>
        <c:crosses val="autoZero"/>
        <c:auto val="1"/>
        <c:lblAlgn val="ctr"/>
        <c:lblOffset val="100"/>
        <c:noMultiLvlLbl val="0"/>
      </c:catAx>
      <c:valAx>
        <c:axId val="-2109956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47595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40-60</c:v>
          </c:tx>
          <c:invertIfNegative val="0"/>
          <c:cat>
            <c:strRef>
              <c:f>('scenario 2 plot'!$H$32,'scenario 2 plot'!$M$32,'scenario 2 plot'!$N$32)</c:f>
              <c:strCache>
                <c:ptCount val="3"/>
                <c:pt idx="0">
                  <c:v>avg batch </c:v>
                </c:pt>
                <c:pt idx="1">
                  <c:v>avg realtime</c:v>
                </c:pt>
                <c:pt idx="2">
                  <c:v>Total Exectution Time</c:v>
                </c:pt>
              </c:strCache>
            </c:strRef>
          </c:cat>
          <c:val>
            <c:numRef>
              <c:f>('scenario 2 plot'!$H$33,'scenario 2 plot'!$M$33,'scenario 2 plot'!$N$33)</c:f>
              <c:numCache>
                <c:formatCode>General</c:formatCode>
                <c:ptCount val="3"/>
                <c:pt idx="0">
                  <c:v>163.5</c:v>
                </c:pt>
                <c:pt idx="1">
                  <c:v>161.25</c:v>
                </c:pt>
                <c:pt idx="2">
                  <c:v>345.0</c:v>
                </c:pt>
              </c:numCache>
            </c:numRef>
          </c:val>
        </c:ser>
        <c:ser>
          <c:idx val="1"/>
          <c:order val="1"/>
          <c:tx>
            <c:v>40-70</c:v>
          </c:tx>
          <c:invertIfNegative val="0"/>
          <c:cat>
            <c:strRef>
              <c:f>('scenario 2 plot'!$H$32,'scenario 2 plot'!$M$32,'scenario 2 plot'!$N$32)</c:f>
              <c:strCache>
                <c:ptCount val="3"/>
                <c:pt idx="0">
                  <c:v>avg batch </c:v>
                </c:pt>
                <c:pt idx="1">
                  <c:v>avg realtime</c:v>
                </c:pt>
                <c:pt idx="2">
                  <c:v>Total Exectution Time</c:v>
                </c:pt>
              </c:strCache>
            </c:strRef>
          </c:cat>
          <c:val>
            <c:numRef>
              <c:f>('scenario 2 plot'!$H$34,'scenario 2 plot'!$M$34,'scenario 2 plot'!$N$34)</c:f>
              <c:numCache>
                <c:formatCode>General</c:formatCode>
                <c:ptCount val="3"/>
                <c:pt idx="0">
                  <c:v>154.0</c:v>
                </c:pt>
                <c:pt idx="1">
                  <c:v>132.0</c:v>
                </c:pt>
                <c:pt idx="2">
                  <c:v>369.0</c:v>
                </c:pt>
              </c:numCache>
            </c:numRef>
          </c:val>
        </c:ser>
        <c:ser>
          <c:idx val="2"/>
          <c:order val="2"/>
          <c:tx>
            <c:v>40-80</c:v>
          </c:tx>
          <c:invertIfNegative val="0"/>
          <c:cat>
            <c:strRef>
              <c:f>('scenario 2 plot'!$H$32,'scenario 2 plot'!$M$32,'scenario 2 plot'!$N$32)</c:f>
              <c:strCache>
                <c:ptCount val="3"/>
                <c:pt idx="0">
                  <c:v>avg batch </c:v>
                </c:pt>
                <c:pt idx="1">
                  <c:v>avg realtime</c:v>
                </c:pt>
                <c:pt idx="2">
                  <c:v>Total Exectution Time</c:v>
                </c:pt>
              </c:strCache>
            </c:strRef>
          </c:cat>
          <c:val>
            <c:numRef>
              <c:f>('scenario 2 plot'!$H$35,'scenario 2 plot'!$M$35,'scenario 2 plot'!$N$35)</c:f>
              <c:numCache>
                <c:formatCode>General</c:formatCode>
                <c:ptCount val="3"/>
                <c:pt idx="0">
                  <c:v>170.0</c:v>
                </c:pt>
                <c:pt idx="1">
                  <c:v>137.25</c:v>
                </c:pt>
                <c:pt idx="2">
                  <c:v>356.0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10830328"/>
        <c:axId val="-2108939000"/>
      </c:barChart>
      <c:catAx>
        <c:axId val="-21108303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8939000"/>
        <c:crosses val="autoZero"/>
        <c:auto val="1"/>
        <c:lblAlgn val="ctr"/>
        <c:lblOffset val="100"/>
        <c:noMultiLvlLbl val="0"/>
      </c:catAx>
      <c:valAx>
        <c:axId val="-2108939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08303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10 to 90</c:v>
          </c:tx>
          <c:invertIfNegative val="0"/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timeout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/>
                      <a:t>timeout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('scenario 2 plot'!$H$110,'scenario 2 plot'!$M$110,'scenario 2 plot'!$N$110)</c:f>
              <c:strCache>
                <c:ptCount val="3"/>
                <c:pt idx="0">
                  <c:v>avg batch </c:v>
                </c:pt>
                <c:pt idx="1">
                  <c:v>avg realtime</c:v>
                </c:pt>
                <c:pt idx="2">
                  <c:v>Total Exectution Time</c:v>
                </c:pt>
              </c:strCache>
            </c:strRef>
          </c:cat>
          <c:val>
            <c:numRef>
              <c:f>('scenario 2 plot'!$H$111,'scenario 2 plot'!$M$111,'scenario 2 plot'!$N$111)</c:f>
              <c:numCache>
                <c:formatCode>General</c:formatCode>
                <c:ptCount val="3"/>
                <c:pt idx="0">
                  <c:v>700.0</c:v>
                </c:pt>
                <c:pt idx="1">
                  <c:v>89.5</c:v>
                </c:pt>
                <c:pt idx="2">
                  <c:v>700.0</c:v>
                </c:pt>
              </c:numCache>
            </c:numRef>
          </c:val>
        </c:ser>
        <c:ser>
          <c:idx val="1"/>
          <c:order val="1"/>
          <c:tx>
            <c:v>20 to 90</c:v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('scenario 2 plot'!$H$110,'scenario 2 plot'!$M$110,'scenario 2 plot'!$N$110)</c:f>
              <c:strCache>
                <c:ptCount val="3"/>
                <c:pt idx="0">
                  <c:v>avg batch </c:v>
                </c:pt>
                <c:pt idx="1">
                  <c:v>avg realtime</c:v>
                </c:pt>
                <c:pt idx="2">
                  <c:v>Total Exectution Time</c:v>
                </c:pt>
              </c:strCache>
            </c:strRef>
          </c:cat>
          <c:val>
            <c:numRef>
              <c:f>('scenario 2 plot'!$H$112,'scenario 2 plot'!$M$112,'scenario 2 plot'!$N$112)</c:f>
              <c:numCache>
                <c:formatCode>General</c:formatCode>
                <c:ptCount val="3"/>
                <c:pt idx="0">
                  <c:v>415.0</c:v>
                </c:pt>
                <c:pt idx="1">
                  <c:v>134.25</c:v>
                </c:pt>
                <c:pt idx="2">
                  <c:v>538.0</c:v>
                </c:pt>
              </c:numCache>
            </c:numRef>
          </c:val>
        </c:ser>
        <c:ser>
          <c:idx val="2"/>
          <c:order val="2"/>
          <c:tx>
            <c:v>30 to 90</c:v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('scenario 2 plot'!$H$110,'scenario 2 plot'!$M$110,'scenario 2 plot'!$N$110)</c:f>
              <c:strCache>
                <c:ptCount val="3"/>
                <c:pt idx="0">
                  <c:v>avg batch </c:v>
                </c:pt>
                <c:pt idx="1">
                  <c:v>avg realtime</c:v>
                </c:pt>
                <c:pt idx="2">
                  <c:v>Total Exectution Time</c:v>
                </c:pt>
              </c:strCache>
            </c:strRef>
          </c:cat>
          <c:val>
            <c:numRef>
              <c:f>('scenario 2 plot'!$H$113,'scenario 2 plot'!$M$113,'scenario 2 plot'!$N$113)</c:f>
              <c:numCache>
                <c:formatCode>General</c:formatCode>
                <c:ptCount val="3"/>
                <c:pt idx="0">
                  <c:v>410.0</c:v>
                </c:pt>
                <c:pt idx="1">
                  <c:v>104.0</c:v>
                </c:pt>
                <c:pt idx="2">
                  <c:v>529.0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14157336"/>
        <c:axId val="-2118500632"/>
      </c:barChart>
      <c:catAx>
        <c:axId val="-21141573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8500632"/>
        <c:crosses val="autoZero"/>
        <c:auto val="1"/>
        <c:lblAlgn val="ctr"/>
        <c:lblOffset val="100"/>
        <c:noMultiLvlLbl val="0"/>
      </c:catAx>
      <c:valAx>
        <c:axId val="-2118500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41573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4" Type="http://schemas.openxmlformats.org/officeDocument/2006/relationships/image" Target="../media/image2.png"/><Relationship Id="rId5" Type="http://schemas.openxmlformats.org/officeDocument/2006/relationships/chart" Target="../charts/chart5.xml"/><Relationship Id="rId6" Type="http://schemas.openxmlformats.org/officeDocument/2006/relationships/image" Target="../media/image3.png"/><Relationship Id="rId7" Type="http://schemas.openxmlformats.org/officeDocument/2006/relationships/chart" Target="../charts/chart6.xml"/><Relationship Id="rId8" Type="http://schemas.openxmlformats.org/officeDocument/2006/relationships/image" Target="../media/image4.png"/><Relationship Id="rId9" Type="http://schemas.openxmlformats.org/officeDocument/2006/relationships/image" Target="../media/image5.png"/><Relationship Id="rId1" Type="http://schemas.openxmlformats.org/officeDocument/2006/relationships/chart" Target="../charts/chart3.xml"/><Relationship Id="rId2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4" Type="http://schemas.openxmlformats.org/officeDocument/2006/relationships/image" Target="../media/image7.png"/><Relationship Id="rId5" Type="http://schemas.openxmlformats.org/officeDocument/2006/relationships/image" Target="../media/image8.png"/><Relationship Id="rId6" Type="http://schemas.openxmlformats.org/officeDocument/2006/relationships/image" Target="../media/image9.png"/><Relationship Id="rId7" Type="http://schemas.openxmlformats.org/officeDocument/2006/relationships/chart" Target="../charts/chart9.xml"/><Relationship Id="rId8" Type="http://schemas.openxmlformats.org/officeDocument/2006/relationships/image" Target="../media/image10.png"/><Relationship Id="rId9" Type="http://schemas.openxmlformats.org/officeDocument/2006/relationships/chart" Target="../charts/chart10.xml"/><Relationship Id="rId10" Type="http://schemas.openxmlformats.org/officeDocument/2006/relationships/image" Target="../media/image11.png"/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203200</xdr:colOff>
      <xdr:row>21</xdr:row>
      <xdr:rowOff>50800</xdr:rowOff>
    </xdr:from>
    <xdr:to>
      <xdr:col>9</xdr:col>
      <xdr:colOff>152400</xdr:colOff>
      <xdr:row>41</xdr:row>
      <xdr:rowOff>165100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73</xdr:row>
      <xdr:rowOff>101600</xdr:rowOff>
    </xdr:to>
    <xdr:sp macro="" textlink="">
      <xdr:nvSpPr>
        <xdr:cNvPr id="102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375920</xdr:colOff>
      <xdr:row>31</xdr:row>
      <xdr:rowOff>40640</xdr:rowOff>
    </xdr:from>
    <xdr:to>
      <xdr:col>9</xdr:col>
      <xdr:colOff>20320</xdr:colOff>
      <xdr:row>51</xdr:row>
      <xdr:rowOff>187960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73</xdr:row>
      <xdr:rowOff>101600</xdr:rowOff>
    </xdr:to>
    <xdr:sp macro="" textlink="">
      <xdr:nvSpPr>
        <xdr:cNvPr id="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127000</xdr:colOff>
      <xdr:row>9</xdr:row>
      <xdr:rowOff>19050</xdr:rowOff>
    </xdr:from>
    <xdr:to>
      <xdr:col>6</xdr:col>
      <xdr:colOff>571500</xdr:colOff>
      <xdr:row>27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228600</xdr:colOff>
      <xdr:row>6</xdr:row>
      <xdr:rowOff>114300</xdr:rowOff>
    </xdr:from>
    <xdr:to>
      <xdr:col>16</xdr:col>
      <xdr:colOff>114300</xdr:colOff>
      <xdr:row>42</xdr:row>
      <xdr:rowOff>114300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07100" y="1028700"/>
          <a:ext cx="7315200" cy="5486400"/>
        </a:xfrm>
        <a:prstGeom prst="rect">
          <a:avLst/>
        </a:prstGeom>
      </xdr:spPr>
    </xdr:pic>
    <xdr:clientData/>
  </xdr:twoCellAnchor>
  <xdr:twoCellAnchor>
    <xdr:from>
      <xdr:col>1</xdr:col>
      <xdr:colOff>215900</xdr:colOff>
      <xdr:row>53</xdr:row>
      <xdr:rowOff>19050</xdr:rowOff>
    </xdr:from>
    <xdr:to>
      <xdr:col>6</xdr:col>
      <xdr:colOff>660400</xdr:colOff>
      <xdr:row>71</xdr:row>
      <xdr:rowOff>19050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7</xdr:col>
      <xdr:colOff>254000</xdr:colOff>
      <xdr:row>50</xdr:row>
      <xdr:rowOff>127000</xdr:rowOff>
    </xdr:from>
    <xdr:to>
      <xdr:col>16</xdr:col>
      <xdr:colOff>139700</xdr:colOff>
      <xdr:row>86</xdr:row>
      <xdr:rowOff>127000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32500" y="7747000"/>
          <a:ext cx="7315200" cy="5486400"/>
        </a:xfrm>
        <a:prstGeom prst="rect">
          <a:avLst/>
        </a:prstGeom>
      </xdr:spPr>
    </xdr:pic>
    <xdr:clientData/>
  </xdr:twoCellAnchor>
  <xdr:twoCellAnchor>
    <xdr:from>
      <xdr:col>1</xdr:col>
      <xdr:colOff>304800</xdr:colOff>
      <xdr:row>96</xdr:row>
      <xdr:rowOff>6350</xdr:rowOff>
    </xdr:from>
    <xdr:to>
      <xdr:col>6</xdr:col>
      <xdr:colOff>749300</xdr:colOff>
      <xdr:row>114</xdr:row>
      <xdr:rowOff>6350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7</xdr:col>
      <xdr:colOff>495300</xdr:colOff>
      <xdr:row>92</xdr:row>
      <xdr:rowOff>114300</xdr:rowOff>
    </xdr:from>
    <xdr:to>
      <xdr:col>16</xdr:col>
      <xdr:colOff>381000</xdr:colOff>
      <xdr:row>128</xdr:row>
      <xdr:rowOff>114300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273800" y="14135100"/>
          <a:ext cx="7315200" cy="5486400"/>
        </a:xfrm>
        <a:prstGeom prst="rect">
          <a:avLst/>
        </a:prstGeom>
      </xdr:spPr>
    </xdr:pic>
    <xdr:clientData/>
  </xdr:twoCellAnchor>
  <xdr:twoCellAnchor>
    <xdr:from>
      <xdr:col>1</xdr:col>
      <xdr:colOff>12700</xdr:colOff>
      <xdr:row>139</xdr:row>
      <xdr:rowOff>107950</xdr:rowOff>
    </xdr:from>
    <xdr:to>
      <xdr:col>6</xdr:col>
      <xdr:colOff>457200</xdr:colOff>
      <xdr:row>157</xdr:row>
      <xdr:rowOff>107950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16</xdr:col>
      <xdr:colOff>584200</xdr:colOff>
      <xdr:row>92</xdr:row>
      <xdr:rowOff>88900</xdr:rowOff>
    </xdr:from>
    <xdr:to>
      <xdr:col>25</xdr:col>
      <xdr:colOff>469900</xdr:colOff>
      <xdr:row>128</xdr:row>
      <xdr:rowOff>88900</xdr:rowOff>
    </xdr:to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3792200" y="14109700"/>
          <a:ext cx="7315200" cy="5486400"/>
        </a:xfrm>
        <a:prstGeom prst="rect">
          <a:avLst/>
        </a:prstGeom>
      </xdr:spPr>
    </xdr:pic>
    <xdr:clientData/>
  </xdr:twoCellAnchor>
  <xdr:twoCellAnchor editAs="oneCell">
    <xdr:from>
      <xdr:col>7</xdr:col>
      <xdr:colOff>609600</xdr:colOff>
      <xdr:row>135</xdr:row>
      <xdr:rowOff>76200</xdr:rowOff>
    </xdr:from>
    <xdr:to>
      <xdr:col>16</xdr:col>
      <xdr:colOff>495300</xdr:colOff>
      <xdr:row>171</xdr:row>
      <xdr:rowOff>76200</xdr:rowOff>
    </xdr:to>
    <xdr:pic>
      <xdr:nvPicPr>
        <xdr:cNvPr id="22" name="Picture 21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388100" y="20650200"/>
          <a:ext cx="7315200" cy="54864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579120</xdr:colOff>
      <xdr:row>7</xdr:row>
      <xdr:rowOff>66040</xdr:rowOff>
    </xdr:from>
    <xdr:to>
      <xdr:col>6</xdr:col>
      <xdr:colOff>213360</xdr:colOff>
      <xdr:row>25</xdr:row>
      <xdr:rowOff>66040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650240</xdr:colOff>
      <xdr:row>36</xdr:row>
      <xdr:rowOff>45720</xdr:rowOff>
    </xdr:from>
    <xdr:to>
      <xdr:col>6</xdr:col>
      <xdr:colOff>284480</xdr:colOff>
      <xdr:row>54</xdr:row>
      <xdr:rowOff>45720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9</xdr:col>
      <xdr:colOff>365760</xdr:colOff>
      <xdr:row>4</xdr:row>
      <xdr:rowOff>17780</xdr:rowOff>
    </xdr:from>
    <xdr:to>
      <xdr:col>16</xdr:col>
      <xdr:colOff>40640</xdr:colOff>
      <xdr:row>30</xdr:row>
      <xdr:rowOff>132080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772400" y="708660"/>
          <a:ext cx="5435600" cy="4076700"/>
        </a:xfrm>
        <a:prstGeom prst="rect">
          <a:avLst/>
        </a:prstGeom>
      </xdr:spPr>
    </xdr:pic>
    <xdr:clientData/>
  </xdr:twoCellAnchor>
  <xdr:twoCellAnchor editAs="oneCell">
    <xdr:from>
      <xdr:col>16</xdr:col>
      <xdr:colOff>142240</xdr:colOff>
      <xdr:row>4</xdr:row>
      <xdr:rowOff>109220</xdr:rowOff>
    </xdr:from>
    <xdr:to>
      <xdr:col>22</xdr:col>
      <xdr:colOff>477520</xdr:colOff>
      <xdr:row>30</xdr:row>
      <xdr:rowOff>101600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309600" y="800100"/>
          <a:ext cx="5273040" cy="3954780"/>
        </a:xfrm>
        <a:prstGeom prst="rect">
          <a:avLst/>
        </a:prstGeom>
      </xdr:spPr>
    </xdr:pic>
    <xdr:clientData/>
  </xdr:twoCellAnchor>
  <xdr:twoCellAnchor editAs="oneCell">
    <xdr:from>
      <xdr:col>14</xdr:col>
      <xdr:colOff>294641</xdr:colOff>
      <xdr:row>38</xdr:row>
      <xdr:rowOff>10160</xdr:rowOff>
    </xdr:from>
    <xdr:to>
      <xdr:col>20</xdr:col>
      <xdr:colOff>436881</xdr:colOff>
      <xdr:row>63</xdr:row>
      <xdr:rowOff>10160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816081" y="5882640"/>
          <a:ext cx="5080000" cy="3810000"/>
        </a:xfrm>
        <a:prstGeom prst="rect">
          <a:avLst/>
        </a:prstGeom>
      </xdr:spPr>
    </xdr:pic>
    <xdr:clientData/>
  </xdr:twoCellAnchor>
  <xdr:twoCellAnchor editAs="oneCell">
    <xdr:from>
      <xdr:col>6</xdr:col>
      <xdr:colOff>701040</xdr:colOff>
      <xdr:row>36</xdr:row>
      <xdr:rowOff>91440</xdr:rowOff>
    </xdr:from>
    <xdr:to>
      <xdr:col>13</xdr:col>
      <xdr:colOff>751840</xdr:colOff>
      <xdr:row>65</xdr:row>
      <xdr:rowOff>30480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638800" y="5659120"/>
          <a:ext cx="5811520" cy="4358640"/>
        </a:xfrm>
        <a:prstGeom prst="rect">
          <a:avLst/>
        </a:prstGeom>
      </xdr:spPr>
    </xdr:pic>
    <xdr:clientData/>
  </xdr:twoCellAnchor>
  <xdr:twoCellAnchor>
    <xdr:from>
      <xdr:col>0</xdr:col>
      <xdr:colOff>609600</xdr:colOff>
      <xdr:row>118</xdr:row>
      <xdr:rowOff>106680</xdr:rowOff>
    </xdr:from>
    <xdr:to>
      <xdr:col>6</xdr:col>
      <xdr:colOff>243840</xdr:colOff>
      <xdr:row>136</xdr:row>
      <xdr:rowOff>106680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6</xdr:col>
      <xdr:colOff>457200</xdr:colOff>
      <xdr:row>116</xdr:row>
      <xdr:rowOff>10160</xdr:rowOff>
    </xdr:from>
    <xdr:to>
      <xdr:col>15</xdr:col>
      <xdr:colOff>365760</xdr:colOff>
      <xdr:row>152</xdr:row>
      <xdr:rowOff>10160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394960" y="17891760"/>
          <a:ext cx="7315200" cy="5486400"/>
        </a:xfrm>
        <a:prstGeom prst="rect">
          <a:avLst/>
        </a:prstGeom>
      </xdr:spPr>
    </xdr:pic>
    <xdr:clientData/>
  </xdr:twoCellAnchor>
  <xdr:twoCellAnchor>
    <xdr:from>
      <xdr:col>0</xdr:col>
      <xdr:colOff>335280</xdr:colOff>
      <xdr:row>76</xdr:row>
      <xdr:rowOff>45720</xdr:rowOff>
    </xdr:from>
    <xdr:to>
      <xdr:col>5</xdr:col>
      <xdr:colOff>792480</xdr:colOff>
      <xdr:row>94</xdr:row>
      <xdr:rowOff>45720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6</xdr:col>
      <xdr:colOff>558800</xdr:colOff>
      <xdr:row>73</xdr:row>
      <xdr:rowOff>10160</xdr:rowOff>
    </xdr:from>
    <xdr:to>
      <xdr:col>13</xdr:col>
      <xdr:colOff>203200</xdr:colOff>
      <xdr:row>99</xdr:row>
      <xdr:rowOff>60960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5496560" y="11216640"/>
          <a:ext cx="5405120" cy="405384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812800</xdr:colOff>
      <xdr:row>19</xdr:row>
      <xdr:rowOff>57150</xdr:rowOff>
    </xdr:from>
    <xdr:to>
      <xdr:col>11</xdr:col>
      <xdr:colOff>165100</xdr:colOff>
      <xdr:row>37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00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16" sqref="G16"/>
    </sheetView>
  </sheetViews>
  <sheetFormatPr baseColWidth="10" defaultColWidth="14.5" defaultRowHeight="15.75" customHeight="1" x14ac:dyDescent="0"/>
  <cols>
    <col min="10" max="10" width="16.6640625" customWidth="1"/>
    <col min="11" max="11" width="18.5" customWidth="1"/>
    <col min="12" max="12" width="17.1640625" customWidth="1"/>
  </cols>
  <sheetData>
    <row r="1" spans="1:36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7</v>
      </c>
      <c r="H1" s="3"/>
      <c r="I1" s="3" t="s">
        <v>8</v>
      </c>
      <c r="J1" s="3" t="s">
        <v>9</v>
      </c>
      <c r="K1" s="3" t="s">
        <v>10</v>
      </c>
      <c r="L1" s="3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5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7" t="s">
        <v>23</v>
      </c>
      <c r="Y1" s="9" t="s">
        <v>28</v>
      </c>
    </row>
    <row r="2" spans="1:36" ht="15.75" customHeight="1">
      <c r="A2" s="10">
        <v>53</v>
      </c>
      <c r="B2" s="10">
        <v>60</v>
      </c>
      <c r="C2" s="10">
        <v>40</v>
      </c>
      <c r="D2" s="10">
        <v>100</v>
      </c>
      <c r="E2" s="10">
        <v>50</v>
      </c>
      <c r="F2" s="10">
        <v>5</v>
      </c>
      <c r="G2" s="10">
        <v>3</v>
      </c>
      <c r="H2" s="10"/>
      <c r="I2" s="10">
        <v>18</v>
      </c>
      <c r="J2" s="10">
        <v>1</v>
      </c>
      <c r="K2" s="10" t="s">
        <v>38</v>
      </c>
      <c r="L2" s="11" t="s">
        <v>39</v>
      </c>
      <c r="M2" s="13">
        <f>2*60+54</f>
        <v>174</v>
      </c>
      <c r="N2" s="13">
        <f>4*60+28</f>
        <v>268</v>
      </c>
      <c r="O2" s="13">
        <f>5*60+22</f>
        <v>322</v>
      </c>
      <c r="P2" s="13">
        <f>6*60+49</f>
        <v>409</v>
      </c>
      <c r="Q2" s="13">
        <f>7*60+43</f>
        <v>463</v>
      </c>
      <c r="R2" s="14"/>
      <c r="S2" s="15"/>
      <c r="T2" s="15"/>
      <c r="U2" s="15"/>
      <c r="V2" s="15"/>
      <c r="W2" s="15"/>
      <c r="X2" s="16"/>
      <c r="Y2" s="18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</row>
    <row r="3" spans="1:36" ht="15.75" customHeight="1">
      <c r="A3" s="10">
        <v>54</v>
      </c>
      <c r="B3" s="10">
        <v>60</v>
      </c>
      <c r="C3" s="10">
        <v>40</v>
      </c>
      <c r="D3" s="10">
        <v>100</v>
      </c>
      <c r="E3" s="10">
        <v>50</v>
      </c>
      <c r="F3" s="10">
        <v>5</v>
      </c>
      <c r="G3" s="10">
        <v>2</v>
      </c>
      <c r="H3" s="10"/>
      <c r="I3" s="10">
        <v>18</v>
      </c>
      <c r="J3" s="10">
        <v>1</v>
      </c>
      <c r="K3" s="10">
        <v>10</v>
      </c>
      <c r="L3" s="10">
        <v>1</v>
      </c>
      <c r="M3" s="15"/>
      <c r="N3" s="15"/>
      <c r="O3" s="15"/>
      <c r="P3" s="15"/>
      <c r="Q3" s="15"/>
      <c r="R3" s="14"/>
      <c r="S3" s="15"/>
      <c r="T3" s="15"/>
      <c r="U3" s="15"/>
      <c r="V3" s="15"/>
      <c r="W3" s="15"/>
      <c r="X3" s="16"/>
      <c r="Y3" s="18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</row>
    <row r="4" spans="1:36" ht="15.75" customHeight="1">
      <c r="A4" s="19">
        <v>55</v>
      </c>
      <c r="B4" s="19">
        <v>60</v>
      </c>
      <c r="C4" s="19">
        <v>40</v>
      </c>
      <c r="D4" s="19">
        <v>100</v>
      </c>
      <c r="E4" s="19">
        <v>100</v>
      </c>
      <c r="F4" s="19">
        <v>5</v>
      </c>
      <c r="G4" s="19">
        <v>2</v>
      </c>
      <c r="H4" s="19"/>
      <c r="I4" s="19">
        <v>18</v>
      </c>
      <c r="J4" s="19">
        <v>1</v>
      </c>
      <c r="K4" s="22"/>
      <c r="L4" s="22"/>
      <c r="M4" s="19">
        <v>141</v>
      </c>
      <c r="N4" s="22"/>
      <c r="O4" s="22"/>
      <c r="P4" s="22"/>
      <c r="Q4" s="22"/>
      <c r="R4" s="14"/>
      <c r="S4" s="22"/>
      <c r="T4" s="22"/>
      <c r="U4" s="22"/>
      <c r="V4" s="22"/>
      <c r="W4" s="22"/>
      <c r="X4" s="23"/>
      <c r="Y4" s="24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</row>
    <row r="5" spans="1:36" ht="15.75" customHeight="1">
      <c r="A5" s="6" t="s">
        <v>47</v>
      </c>
      <c r="B5" s="6"/>
      <c r="D5" s="6"/>
      <c r="F5" s="6"/>
      <c r="G5" s="6"/>
      <c r="H5" s="6"/>
      <c r="I5" s="6"/>
      <c r="J5" s="6"/>
      <c r="K5" s="6"/>
      <c r="L5" s="6"/>
      <c r="M5" s="6"/>
      <c r="R5" s="14"/>
      <c r="X5" s="26"/>
      <c r="Y5" s="28"/>
    </row>
    <row r="6" spans="1:36" ht="15.75" customHeight="1">
      <c r="A6" s="6"/>
      <c r="B6" s="6"/>
      <c r="D6" s="6"/>
      <c r="F6" s="6"/>
      <c r="G6" s="6"/>
      <c r="H6" s="6"/>
      <c r="I6" s="6"/>
      <c r="J6" s="6"/>
      <c r="K6" s="6"/>
      <c r="L6" s="6"/>
      <c r="M6" s="6"/>
      <c r="R6" s="14"/>
      <c r="X6" s="26"/>
      <c r="Y6" s="28"/>
    </row>
    <row r="7" spans="1:36" ht="15.75" customHeight="1">
      <c r="A7" s="6">
        <v>61</v>
      </c>
      <c r="B7" s="6">
        <v>50</v>
      </c>
      <c r="C7">
        <f t="shared" ref="C7:C11" si="0">100-B7</f>
        <v>50</v>
      </c>
      <c r="D7" s="6">
        <v>50</v>
      </c>
      <c r="E7">
        <f t="shared" ref="E7:E11" si="1">100-D7</f>
        <v>50</v>
      </c>
      <c r="F7" s="6">
        <v>5</v>
      </c>
      <c r="G7" s="6">
        <v>2</v>
      </c>
      <c r="H7" s="6"/>
      <c r="I7" s="6">
        <v>18</v>
      </c>
      <c r="J7" s="6">
        <v>1</v>
      </c>
      <c r="K7" s="6">
        <v>6</v>
      </c>
      <c r="L7" s="6">
        <v>0</v>
      </c>
      <c r="M7" s="6">
        <v>121</v>
      </c>
      <c r="N7">
        <f>3*60+55</f>
        <v>235</v>
      </c>
      <c r="O7">
        <f>3*60+56</f>
        <v>236</v>
      </c>
      <c r="P7">
        <f>4*60+29</f>
        <v>269</v>
      </c>
      <c r="Q7">
        <f>4*60+34</f>
        <v>274</v>
      </c>
      <c r="R7" s="32">
        <f t="shared" ref="R7:R11" si="2">AVERAGE(M7:Q7)</f>
        <v>227</v>
      </c>
      <c r="S7">
        <f>4*60+8</f>
        <v>248</v>
      </c>
      <c r="T7">
        <f>4*60+18</f>
        <v>258</v>
      </c>
      <c r="X7" s="34">
        <f t="shared" ref="X7:X10" si="3">AVERAGE(S7:T7)</f>
        <v>253</v>
      </c>
      <c r="Y7" s="36">
        <f>7*60+55</f>
        <v>475</v>
      </c>
    </row>
    <row r="8" spans="1:36" ht="15.75" customHeight="1">
      <c r="A8" s="6">
        <v>62</v>
      </c>
      <c r="B8" s="6">
        <v>60</v>
      </c>
      <c r="C8">
        <f t="shared" si="0"/>
        <v>40</v>
      </c>
      <c r="D8" s="6">
        <v>60</v>
      </c>
      <c r="E8">
        <f t="shared" si="1"/>
        <v>40</v>
      </c>
      <c r="F8" s="6">
        <v>5</v>
      </c>
      <c r="G8" s="6">
        <v>2</v>
      </c>
      <c r="H8" s="6"/>
      <c r="I8" s="6">
        <v>18</v>
      </c>
      <c r="J8" s="6">
        <v>1</v>
      </c>
      <c r="K8" s="6">
        <v>6</v>
      </c>
      <c r="L8" s="6">
        <v>0</v>
      </c>
      <c r="M8" s="6">
        <v>114</v>
      </c>
      <c r="N8">
        <f>3*60+57</f>
        <v>237</v>
      </c>
      <c r="O8">
        <f>3*60+25</f>
        <v>205</v>
      </c>
      <c r="P8">
        <f>4*60+36</f>
        <v>276</v>
      </c>
      <c r="Q8">
        <f>4*60+26</f>
        <v>266</v>
      </c>
      <c r="R8" s="32">
        <f t="shared" si="2"/>
        <v>219.6</v>
      </c>
      <c r="S8">
        <f>3*60+5</f>
        <v>185</v>
      </c>
      <c r="T8">
        <f>270</f>
        <v>270</v>
      </c>
      <c r="X8" s="34">
        <f t="shared" si="3"/>
        <v>227.5</v>
      </c>
      <c r="Y8" s="36">
        <f>420+24</f>
        <v>444</v>
      </c>
    </row>
    <row r="9" spans="1:36" ht="15.75" customHeight="1">
      <c r="A9" s="6">
        <v>63</v>
      </c>
      <c r="B9" s="6">
        <v>70</v>
      </c>
      <c r="C9">
        <f t="shared" si="0"/>
        <v>30</v>
      </c>
      <c r="D9" s="6">
        <v>70</v>
      </c>
      <c r="E9">
        <f t="shared" si="1"/>
        <v>30</v>
      </c>
      <c r="F9" s="6">
        <v>5</v>
      </c>
      <c r="G9" s="6">
        <v>2</v>
      </c>
      <c r="H9" s="6"/>
      <c r="I9" s="6">
        <v>18</v>
      </c>
      <c r="J9" s="6">
        <v>1</v>
      </c>
      <c r="K9" s="6">
        <v>6</v>
      </c>
      <c r="L9" s="6">
        <v>0</v>
      </c>
      <c r="M9">
        <f>60+29</f>
        <v>89</v>
      </c>
      <c r="N9" s="6">
        <v>183</v>
      </c>
      <c r="O9">
        <f>4*60+39</f>
        <v>279</v>
      </c>
      <c r="P9" s="6">
        <v>249</v>
      </c>
      <c r="Q9" s="6">
        <v>270</v>
      </c>
      <c r="R9" s="32">
        <f t="shared" si="2"/>
        <v>214</v>
      </c>
      <c r="S9" s="6">
        <v>321</v>
      </c>
      <c r="T9">
        <f>360+37</f>
        <v>397</v>
      </c>
      <c r="X9" s="34">
        <f t="shared" si="3"/>
        <v>359</v>
      </c>
      <c r="Y9" s="36">
        <f>8*60+2</f>
        <v>482</v>
      </c>
    </row>
    <row r="10" spans="1:36" ht="15.75" customHeight="1">
      <c r="A10" s="6">
        <v>64</v>
      </c>
      <c r="B10" s="6">
        <v>80</v>
      </c>
      <c r="C10">
        <f t="shared" si="0"/>
        <v>20</v>
      </c>
      <c r="D10" s="6">
        <v>80</v>
      </c>
      <c r="E10">
        <f t="shared" si="1"/>
        <v>20</v>
      </c>
      <c r="F10" s="6">
        <v>5</v>
      </c>
      <c r="G10" s="6">
        <v>2</v>
      </c>
      <c r="H10" s="6"/>
      <c r="I10" s="6">
        <v>18</v>
      </c>
      <c r="J10" s="6">
        <v>1</v>
      </c>
      <c r="K10" s="6">
        <v>6</v>
      </c>
      <c r="L10" s="6">
        <v>0</v>
      </c>
      <c r="M10">
        <f>120+14</f>
        <v>134</v>
      </c>
      <c r="N10">
        <f>180+11</f>
        <v>191</v>
      </c>
      <c r="O10">
        <f>3*60+30</f>
        <v>210</v>
      </c>
      <c r="P10">
        <f>3*60+19</f>
        <v>199</v>
      </c>
      <c r="Q10">
        <f>3*60+42</f>
        <v>222</v>
      </c>
      <c r="R10" s="32">
        <f t="shared" si="2"/>
        <v>191.2</v>
      </c>
      <c r="S10">
        <f>316</f>
        <v>316</v>
      </c>
      <c r="T10">
        <f>240+55</f>
        <v>295</v>
      </c>
      <c r="X10" s="34">
        <f t="shared" si="3"/>
        <v>305.5</v>
      </c>
      <c r="Y10" s="36">
        <f>480+26</f>
        <v>506</v>
      </c>
    </row>
    <row r="11" spans="1:36" ht="15.75" customHeight="1">
      <c r="A11" s="6">
        <v>65</v>
      </c>
      <c r="B11" s="6">
        <v>90</v>
      </c>
      <c r="C11">
        <f t="shared" si="0"/>
        <v>10</v>
      </c>
      <c r="D11" s="6">
        <v>90</v>
      </c>
      <c r="E11">
        <f t="shared" si="1"/>
        <v>10</v>
      </c>
      <c r="F11" s="6">
        <v>5</v>
      </c>
      <c r="G11" s="6">
        <v>2</v>
      </c>
      <c r="H11" s="6"/>
      <c r="I11" s="6">
        <v>18</v>
      </c>
      <c r="J11" s="6">
        <v>1</v>
      </c>
      <c r="K11" s="6">
        <v>6</v>
      </c>
      <c r="L11" s="6">
        <v>0</v>
      </c>
      <c r="M11">
        <f>60+58</f>
        <v>118</v>
      </c>
      <c r="N11">
        <f>2*60+24</f>
        <v>144</v>
      </c>
      <c r="O11">
        <f>2*60+28</f>
        <v>148</v>
      </c>
      <c r="P11">
        <f>120+57</f>
        <v>177</v>
      </c>
      <c r="Q11" s="6">
        <v>180</v>
      </c>
      <c r="R11" s="32">
        <f t="shared" si="2"/>
        <v>153.4</v>
      </c>
      <c r="S11" s="6" t="s">
        <v>41</v>
      </c>
      <c r="T11" s="6" t="s">
        <v>41</v>
      </c>
      <c r="X11" s="26"/>
      <c r="Y11" s="9" t="s">
        <v>60</v>
      </c>
    </row>
    <row r="12" spans="1:36" ht="15.75" customHeight="1">
      <c r="A12" s="6" t="s">
        <v>45</v>
      </c>
      <c r="R12" s="14"/>
      <c r="X12" s="26"/>
      <c r="Y12" s="28"/>
    </row>
    <row r="13" spans="1:36" ht="15.75" customHeight="1">
      <c r="A13" s="6">
        <v>80</v>
      </c>
      <c r="B13" s="6">
        <v>60</v>
      </c>
      <c r="C13" s="6">
        <v>40</v>
      </c>
      <c r="D13" s="6">
        <v>70</v>
      </c>
      <c r="E13" s="6">
        <v>50</v>
      </c>
      <c r="F13" s="6">
        <v>5</v>
      </c>
      <c r="G13" s="6">
        <v>2</v>
      </c>
      <c r="H13" s="6"/>
      <c r="I13" s="6">
        <v>18</v>
      </c>
      <c r="J13" s="6">
        <v>1</v>
      </c>
      <c r="K13" s="6">
        <v>6</v>
      </c>
      <c r="L13" s="6">
        <v>0</v>
      </c>
      <c r="M13">
        <f>120+35</f>
        <v>155</v>
      </c>
      <c r="N13">
        <f>180+20</f>
        <v>200</v>
      </c>
      <c r="O13">
        <f>4*60+49</f>
        <v>289</v>
      </c>
      <c r="P13">
        <f t="shared" ref="P13:Q13" si="4">4*60+45</f>
        <v>285</v>
      </c>
      <c r="Q13">
        <f t="shared" si="4"/>
        <v>285</v>
      </c>
      <c r="R13" s="32">
        <f t="shared" ref="R13:R19" si="5">AVERAGE(M13:Q13)</f>
        <v>242.8</v>
      </c>
      <c r="S13">
        <f>180+51</f>
        <v>231</v>
      </c>
      <c r="T13">
        <f>300+16</f>
        <v>316</v>
      </c>
      <c r="X13" s="34">
        <f t="shared" ref="X13:X19" si="6">AVERAGE(S13:T13)</f>
        <v>273.5</v>
      </c>
      <c r="Y13" s="36">
        <f>7*60+56</f>
        <v>476</v>
      </c>
    </row>
    <row r="14" spans="1:36" ht="15.75" customHeight="1">
      <c r="A14" s="37">
        <v>97</v>
      </c>
      <c r="B14" s="6">
        <v>50</v>
      </c>
      <c r="C14" s="6">
        <v>50</v>
      </c>
      <c r="D14" s="6">
        <v>60</v>
      </c>
      <c r="E14" s="6">
        <v>50</v>
      </c>
      <c r="F14" s="6">
        <v>5</v>
      </c>
      <c r="G14" s="6">
        <v>2</v>
      </c>
      <c r="I14" s="6">
        <v>18</v>
      </c>
      <c r="J14" s="6">
        <v>1</v>
      </c>
      <c r="K14" s="6">
        <v>6</v>
      </c>
      <c r="L14" s="6">
        <v>0</v>
      </c>
      <c r="M14" s="6">
        <v>124</v>
      </c>
      <c r="N14" s="6">
        <v>217</v>
      </c>
      <c r="O14" s="6">
        <v>247</v>
      </c>
      <c r="P14" s="6">
        <v>278</v>
      </c>
      <c r="Q14" s="6">
        <v>286</v>
      </c>
      <c r="R14" s="32">
        <f t="shared" si="5"/>
        <v>230.4</v>
      </c>
      <c r="S14" s="6">
        <v>255</v>
      </c>
      <c r="T14" s="6">
        <v>236</v>
      </c>
      <c r="X14" s="34">
        <f t="shared" si="6"/>
        <v>245.5</v>
      </c>
      <c r="Y14" s="9">
        <v>486</v>
      </c>
    </row>
    <row r="15" spans="1:36" ht="15.75" customHeight="1">
      <c r="A15" s="37">
        <v>107</v>
      </c>
      <c r="B15" s="6">
        <v>70</v>
      </c>
      <c r="C15" s="6">
        <v>30</v>
      </c>
      <c r="D15" s="6">
        <v>70</v>
      </c>
      <c r="E15" s="6">
        <v>40</v>
      </c>
      <c r="F15" s="6">
        <v>5</v>
      </c>
      <c r="G15" s="6">
        <v>2</v>
      </c>
      <c r="I15" s="6">
        <v>18</v>
      </c>
      <c r="J15" s="6">
        <v>1</v>
      </c>
      <c r="K15" s="6">
        <v>6</v>
      </c>
      <c r="L15" s="6">
        <v>0</v>
      </c>
      <c r="M15" s="6">
        <v>94</v>
      </c>
      <c r="N15" s="6">
        <v>190</v>
      </c>
      <c r="O15" s="6">
        <v>184</v>
      </c>
      <c r="P15" s="6">
        <v>190</v>
      </c>
      <c r="Q15" s="6">
        <v>226</v>
      </c>
      <c r="R15" s="32">
        <f t="shared" si="5"/>
        <v>176.8</v>
      </c>
      <c r="S15" s="6">
        <v>166</v>
      </c>
      <c r="T15" s="6">
        <v>168</v>
      </c>
      <c r="X15" s="34">
        <f t="shared" si="6"/>
        <v>167</v>
      </c>
      <c r="Y15" s="9">
        <v>425</v>
      </c>
    </row>
    <row r="16" spans="1:36" ht="15.75" customHeight="1">
      <c r="A16" s="38">
        <v>108</v>
      </c>
      <c r="B16" s="6">
        <v>70</v>
      </c>
      <c r="C16" s="6">
        <v>30</v>
      </c>
      <c r="D16" s="6">
        <v>70</v>
      </c>
      <c r="E16" s="6">
        <v>50</v>
      </c>
      <c r="F16" s="6">
        <v>5</v>
      </c>
      <c r="G16" s="6">
        <v>2</v>
      </c>
      <c r="I16" s="6">
        <v>18</v>
      </c>
      <c r="J16" s="6">
        <v>1</v>
      </c>
      <c r="K16" s="6">
        <v>6</v>
      </c>
      <c r="L16" s="6">
        <v>0</v>
      </c>
      <c r="M16" s="6">
        <v>112</v>
      </c>
      <c r="N16" s="6">
        <v>161</v>
      </c>
      <c r="O16" s="6">
        <v>218</v>
      </c>
      <c r="P16" s="6">
        <v>331</v>
      </c>
      <c r="Q16" s="6">
        <v>351</v>
      </c>
      <c r="R16" s="32">
        <f t="shared" si="5"/>
        <v>234.6</v>
      </c>
      <c r="S16" s="6">
        <v>324</v>
      </c>
      <c r="T16" s="6">
        <v>416</v>
      </c>
      <c r="X16" s="34">
        <f t="shared" si="6"/>
        <v>370</v>
      </c>
      <c r="Y16" s="36">
        <f>9*60 + 27</f>
        <v>567</v>
      </c>
    </row>
    <row r="17" spans="1:36" ht="15.75" customHeight="1">
      <c r="A17" s="37">
        <v>111</v>
      </c>
      <c r="B17" s="6">
        <v>80</v>
      </c>
      <c r="C17" s="6">
        <v>20</v>
      </c>
      <c r="D17" s="6">
        <v>80</v>
      </c>
      <c r="E17" s="6">
        <v>30</v>
      </c>
      <c r="F17" s="6">
        <v>5</v>
      </c>
      <c r="G17" s="6">
        <v>2</v>
      </c>
      <c r="I17" s="6">
        <v>18</v>
      </c>
      <c r="J17" s="6">
        <v>1</v>
      </c>
      <c r="K17" s="6">
        <v>6</v>
      </c>
      <c r="L17" s="6">
        <v>0</v>
      </c>
      <c r="M17" s="6">
        <v>141</v>
      </c>
      <c r="N17" s="6">
        <v>175</v>
      </c>
      <c r="O17" s="6">
        <v>176</v>
      </c>
      <c r="P17" s="6">
        <v>193</v>
      </c>
      <c r="Q17" s="6">
        <v>234</v>
      </c>
      <c r="R17" s="32">
        <f t="shared" si="5"/>
        <v>183.8</v>
      </c>
      <c r="S17" s="6">
        <v>209</v>
      </c>
      <c r="T17" s="6">
        <v>224</v>
      </c>
      <c r="X17" s="34">
        <f t="shared" si="6"/>
        <v>216.5</v>
      </c>
      <c r="Y17" s="36">
        <f>7 * 60 + 67 - 38</f>
        <v>449</v>
      </c>
    </row>
    <row r="18" spans="1:36" ht="15.75" customHeight="1">
      <c r="A18" s="37">
        <v>109</v>
      </c>
      <c r="B18" s="6">
        <v>80</v>
      </c>
      <c r="C18" s="6">
        <v>20</v>
      </c>
      <c r="D18" s="6">
        <v>80</v>
      </c>
      <c r="E18" s="6">
        <v>40</v>
      </c>
      <c r="F18" s="6">
        <v>5</v>
      </c>
      <c r="G18" s="6">
        <v>2</v>
      </c>
      <c r="I18" s="6">
        <v>18</v>
      </c>
      <c r="J18" s="6">
        <v>1</v>
      </c>
      <c r="K18" s="6">
        <v>6</v>
      </c>
      <c r="L18" s="6">
        <v>0</v>
      </c>
      <c r="M18" s="6">
        <v>107</v>
      </c>
      <c r="N18" s="6">
        <v>167</v>
      </c>
      <c r="O18" s="6">
        <v>214</v>
      </c>
      <c r="P18" s="6">
        <v>229</v>
      </c>
      <c r="Q18" s="6">
        <v>237</v>
      </c>
      <c r="R18" s="32">
        <f t="shared" si="5"/>
        <v>190.8</v>
      </c>
      <c r="S18" s="6">
        <v>318</v>
      </c>
      <c r="T18" s="6">
        <v>292</v>
      </c>
      <c r="X18" s="34">
        <f t="shared" si="6"/>
        <v>305</v>
      </c>
      <c r="Y18" s="36">
        <f>8*60 + 7</f>
        <v>487</v>
      </c>
    </row>
    <row r="19" spans="1:36" ht="15.75" customHeight="1">
      <c r="A19" s="37">
        <v>110</v>
      </c>
      <c r="B19" s="6">
        <v>80</v>
      </c>
      <c r="C19" s="6">
        <v>20</v>
      </c>
      <c r="D19" s="6">
        <v>80</v>
      </c>
      <c r="E19" s="6">
        <v>50</v>
      </c>
      <c r="F19" s="6">
        <v>5</v>
      </c>
      <c r="G19" s="6">
        <v>2</v>
      </c>
      <c r="I19" s="6">
        <v>18</v>
      </c>
      <c r="J19" s="6">
        <v>1</v>
      </c>
      <c r="K19" s="6">
        <v>6</v>
      </c>
      <c r="L19" s="6">
        <v>0</v>
      </c>
      <c r="M19" s="6">
        <v>118</v>
      </c>
      <c r="N19" s="6">
        <v>178</v>
      </c>
      <c r="O19" s="6">
        <v>159</v>
      </c>
      <c r="P19" s="6">
        <v>168</v>
      </c>
      <c r="Q19" s="6">
        <v>209</v>
      </c>
      <c r="R19" s="32">
        <f t="shared" si="5"/>
        <v>166.4</v>
      </c>
      <c r="S19" s="6">
        <v>339</v>
      </c>
      <c r="T19" s="6">
        <v>255</v>
      </c>
      <c r="X19" s="34">
        <f t="shared" si="6"/>
        <v>297</v>
      </c>
      <c r="Y19" s="9">
        <f>8 * 60 + 52 - 27</f>
        <v>505</v>
      </c>
    </row>
    <row r="20" spans="1:36" ht="15.75" customHeight="1">
      <c r="B20" s="6"/>
      <c r="C20" s="6"/>
      <c r="D20" s="6"/>
      <c r="E20" s="6"/>
      <c r="I20" s="6"/>
      <c r="J20" s="6"/>
      <c r="K20" s="6"/>
      <c r="L20" s="6"/>
      <c r="X20" s="26"/>
    </row>
    <row r="21" spans="1:36" ht="15.75" customHeight="1">
      <c r="B21" s="6"/>
      <c r="C21" s="6"/>
      <c r="D21" s="6"/>
      <c r="E21" s="6"/>
      <c r="I21" s="6"/>
      <c r="J21" s="6"/>
      <c r="K21" s="6"/>
      <c r="L21" s="6"/>
      <c r="X21" s="26"/>
    </row>
    <row r="22" spans="1:36" ht="15.75" customHeight="1">
      <c r="B22" s="6">
        <v>70</v>
      </c>
      <c r="C22" s="6">
        <v>30</v>
      </c>
      <c r="D22" s="6">
        <v>70</v>
      </c>
      <c r="E22" s="6">
        <v>50</v>
      </c>
      <c r="F22" s="6">
        <v>5</v>
      </c>
      <c r="G22" s="6">
        <v>2</v>
      </c>
      <c r="I22" s="6">
        <v>18</v>
      </c>
      <c r="J22" s="6">
        <v>1</v>
      </c>
      <c r="K22" s="6">
        <v>6</v>
      </c>
      <c r="L22" s="6">
        <v>0</v>
      </c>
      <c r="M22" s="6">
        <v>86</v>
      </c>
      <c r="N22" s="6">
        <v>162</v>
      </c>
      <c r="O22" s="6">
        <v>172</v>
      </c>
      <c r="P22" s="6">
        <v>139</v>
      </c>
      <c r="Q22" s="6">
        <v>170</v>
      </c>
      <c r="R22" s="32">
        <f>AVERAGE(M22:Q22)</f>
        <v>145.80000000000001</v>
      </c>
      <c r="S22" s="6">
        <v>170</v>
      </c>
      <c r="T22" s="6">
        <v>167</v>
      </c>
      <c r="X22" s="34">
        <f>AVERAGE(S22:T22)</f>
        <v>168.5</v>
      </c>
    </row>
    <row r="23" spans="1:36" ht="15.75" customHeight="1">
      <c r="B23" s="6" t="s">
        <v>61</v>
      </c>
      <c r="C23" s="6" t="s">
        <v>62</v>
      </c>
      <c r="X23" s="26"/>
    </row>
    <row r="24" spans="1:36" ht="15.75" customHeight="1">
      <c r="A24" s="6"/>
      <c r="B24" s="6" t="s">
        <v>63</v>
      </c>
      <c r="C24" s="6" t="s">
        <v>64</v>
      </c>
      <c r="R24" s="14"/>
      <c r="X24" s="26"/>
      <c r="Y24" s="28"/>
    </row>
    <row r="25" spans="1:36" ht="15.75" customHeight="1">
      <c r="A25" s="10"/>
      <c r="B25" s="12" t="s">
        <v>6</v>
      </c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5"/>
      <c r="N25" s="15"/>
      <c r="O25" s="15"/>
      <c r="P25" s="15"/>
      <c r="Q25" s="15"/>
      <c r="R25" s="14"/>
      <c r="S25" s="15"/>
      <c r="T25" s="15"/>
      <c r="U25" s="15"/>
      <c r="V25" s="15"/>
      <c r="W25" s="15"/>
      <c r="X25" s="16"/>
      <c r="Y25" s="18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</row>
    <row r="26" spans="1:36" ht="15.75" customHeight="1">
      <c r="A26" s="10"/>
      <c r="B26" s="12" t="s">
        <v>65</v>
      </c>
      <c r="C26" s="12" t="s">
        <v>66</v>
      </c>
      <c r="D26" s="10"/>
      <c r="E26" s="10"/>
      <c r="F26" s="10"/>
      <c r="G26" s="10"/>
      <c r="H26" s="10"/>
      <c r="I26" s="10"/>
      <c r="J26" s="10"/>
      <c r="K26" s="10"/>
      <c r="L26" s="10"/>
      <c r="M26" s="15"/>
      <c r="N26" s="15"/>
      <c r="O26" s="15"/>
      <c r="P26" s="15"/>
      <c r="Q26" s="15"/>
      <c r="R26" s="14"/>
      <c r="S26" s="15"/>
      <c r="T26" s="15"/>
      <c r="U26" s="15"/>
      <c r="V26" s="15"/>
      <c r="W26" s="15"/>
      <c r="X26" s="16"/>
      <c r="Y26" s="18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</row>
    <row r="27" spans="1:36" ht="15.75" customHeight="1">
      <c r="R27" s="14"/>
      <c r="X27" s="26"/>
      <c r="Y27" s="28"/>
    </row>
    <row r="28" spans="1:36" ht="15.75" customHeight="1">
      <c r="A28" s="6" t="s">
        <v>67</v>
      </c>
      <c r="R28" s="14"/>
      <c r="X28" s="26"/>
      <c r="Y28" s="28"/>
    </row>
    <row r="29" spans="1:36" ht="15.75" customHeight="1">
      <c r="A29" s="10">
        <v>66</v>
      </c>
      <c r="B29" s="10">
        <v>50</v>
      </c>
      <c r="C29" s="10">
        <v>50</v>
      </c>
      <c r="D29" s="10">
        <v>50</v>
      </c>
      <c r="E29" s="10">
        <v>50</v>
      </c>
      <c r="F29" s="10">
        <v>3</v>
      </c>
      <c r="G29" s="10">
        <v>5</v>
      </c>
      <c r="H29" s="10"/>
      <c r="I29" s="10">
        <v>18</v>
      </c>
      <c r="J29" s="10">
        <v>1</v>
      </c>
      <c r="K29" s="10">
        <v>5</v>
      </c>
      <c r="L29" s="10">
        <v>0</v>
      </c>
      <c r="M29" s="13">
        <f>60+56</f>
        <v>116</v>
      </c>
      <c r="N29" s="13">
        <f>2*60+12</f>
        <v>132</v>
      </c>
      <c r="O29" s="13">
        <f>3*60+25</f>
        <v>205</v>
      </c>
      <c r="P29" s="15"/>
      <c r="Q29" s="15"/>
      <c r="R29" s="32">
        <f t="shared" ref="R29:R30" si="7">AVERAGE(M29:Q29)</f>
        <v>151</v>
      </c>
      <c r="S29" s="13">
        <f>3*60+23</f>
        <v>203</v>
      </c>
      <c r="T29" s="13">
        <f>180+53</f>
        <v>233</v>
      </c>
      <c r="U29" s="13">
        <f>180+55</f>
        <v>235</v>
      </c>
      <c r="V29" s="13">
        <f>120+48</f>
        <v>168</v>
      </c>
      <c r="W29" s="13">
        <f>120+41</f>
        <v>161</v>
      </c>
      <c r="X29" s="39">
        <f t="shared" ref="X29:X30" si="8">AVERAGE(S29:W29)</f>
        <v>200</v>
      </c>
      <c r="Y29" s="40">
        <f>600+30</f>
        <v>630</v>
      </c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</row>
    <row r="30" spans="1:36" ht="15.75" customHeight="1">
      <c r="A30" s="10">
        <v>67</v>
      </c>
      <c r="B30" s="10">
        <v>40</v>
      </c>
      <c r="C30" s="10">
        <v>60</v>
      </c>
      <c r="D30" s="10">
        <v>40</v>
      </c>
      <c r="E30" s="10">
        <v>60</v>
      </c>
      <c r="F30" s="10">
        <v>3</v>
      </c>
      <c r="G30" s="10">
        <v>5</v>
      </c>
      <c r="H30" s="10"/>
      <c r="I30" s="10">
        <v>18</v>
      </c>
      <c r="J30" s="10">
        <v>1</v>
      </c>
      <c r="K30" s="10">
        <v>5</v>
      </c>
      <c r="L30" s="10">
        <v>0</v>
      </c>
      <c r="M30" s="13">
        <f>180+5</f>
        <v>185</v>
      </c>
      <c r="N30" s="13">
        <f>7*60+47</f>
        <v>467</v>
      </c>
      <c r="O30" s="13">
        <f>8*60+44</f>
        <v>524</v>
      </c>
      <c r="P30" s="15"/>
      <c r="Q30" s="15"/>
      <c r="R30" s="32">
        <f t="shared" si="7"/>
        <v>392</v>
      </c>
      <c r="S30" s="13">
        <f t="shared" ref="S30:T30" si="9">3*60+53</f>
        <v>233</v>
      </c>
      <c r="T30" s="13">
        <f t="shared" si="9"/>
        <v>233</v>
      </c>
      <c r="U30" s="13">
        <f>240+50</f>
        <v>290</v>
      </c>
      <c r="V30" s="13">
        <f>360+18</f>
        <v>378</v>
      </c>
      <c r="W30" s="13">
        <f>300+8</f>
        <v>308</v>
      </c>
      <c r="X30" s="39">
        <f t="shared" si="8"/>
        <v>288.39999999999998</v>
      </c>
      <c r="Y30" s="40">
        <f>600+34</f>
        <v>634</v>
      </c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</row>
    <row r="31" spans="1:36" ht="15.75" customHeight="1">
      <c r="R31" s="14"/>
      <c r="X31" s="26"/>
      <c r="Y31" s="28"/>
    </row>
    <row r="32" spans="1:36" ht="15.75" customHeight="1">
      <c r="A32" s="6">
        <v>89</v>
      </c>
      <c r="B32" s="6">
        <v>50</v>
      </c>
      <c r="C32" s="6">
        <v>50</v>
      </c>
      <c r="D32" s="6">
        <v>50</v>
      </c>
      <c r="E32" s="6">
        <v>50</v>
      </c>
      <c r="F32" s="6">
        <v>2</v>
      </c>
      <c r="G32" s="6">
        <v>4</v>
      </c>
      <c r="H32" s="10"/>
      <c r="I32" s="10">
        <v>18</v>
      </c>
      <c r="J32" s="10">
        <v>1</v>
      </c>
      <c r="K32" s="10">
        <v>5</v>
      </c>
      <c r="L32" s="10">
        <v>0</v>
      </c>
      <c r="M32" s="6">
        <v>128</v>
      </c>
      <c r="N32" s="6">
        <v>215</v>
      </c>
      <c r="R32" s="32">
        <f t="shared" ref="R32:R34" si="10">AVERAGE(M32:Q32)</f>
        <v>171.5</v>
      </c>
      <c r="S32" s="6">
        <v>200</v>
      </c>
      <c r="T32" s="6">
        <v>192</v>
      </c>
      <c r="U32" s="6">
        <v>114</v>
      </c>
      <c r="V32" s="6">
        <v>132</v>
      </c>
      <c r="X32" s="34">
        <f t="shared" ref="X32:X35" si="11">AVERAGE(S32:T32)</f>
        <v>196</v>
      </c>
      <c r="Y32" s="9">
        <v>411</v>
      </c>
      <c r="Z32" s="6" t="s">
        <v>68</v>
      </c>
    </row>
    <row r="33" spans="1:26" ht="15.75" customHeight="1">
      <c r="A33" s="6">
        <v>90</v>
      </c>
      <c r="B33" s="6">
        <v>40</v>
      </c>
      <c r="C33" s="6">
        <v>60</v>
      </c>
      <c r="D33" s="6">
        <v>40</v>
      </c>
      <c r="E33" s="6">
        <v>60</v>
      </c>
      <c r="F33" s="6">
        <v>2</v>
      </c>
      <c r="G33" s="6">
        <v>4</v>
      </c>
      <c r="M33" s="6">
        <v>199</v>
      </c>
      <c r="N33" s="6">
        <v>379</v>
      </c>
      <c r="R33" s="32">
        <f t="shared" si="10"/>
        <v>289</v>
      </c>
      <c r="S33" s="6">
        <v>289</v>
      </c>
      <c r="T33" s="6">
        <v>271</v>
      </c>
      <c r="U33" s="6">
        <v>293</v>
      </c>
      <c r="V33" s="6">
        <v>208</v>
      </c>
      <c r="X33" s="34">
        <f t="shared" si="11"/>
        <v>280</v>
      </c>
      <c r="Y33" s="9">
        <v>493</v>
      </c>
      <c r="Z33" s="6" t="s">
        <v>69</v>
      </c>
    </row>
    <row r="34" spans="1:26" ht="15.75" customHeight="1">
      <c r="A34" s="1">
        <v>92</v>
      </c>
      <c r="B34" s="1">
        <v>30</v>
      </c>
      <c r="C34" s="1">
        <v>70</v>
      </c>
      <c r="D34" s="6">
        <v>30</v>
      </c>
      <c r="E34" s="6">
        <v>70</v>
      </c>
      <c r="F34" s="6">
        <v>2</v>
      </c>
      <c r="G34" s="6">
        <v>4</v>
      </c>
      <c r="M34" s="6">
        <v>253</v>
      </c>
      <c r="N34" s="6">
        <v>293</v>
      </c>
      <c r="R34" s="32">
        <f t="shared" si="10"/>
        <v>273</v>
      </c>
      <c r="S34" s="6">
        <v>114</v>
      </c>
      <c r="T34" s="6">
        <v>311</v>
      </c>
      <c r="U34" s="6">
        <v>186</v>
      </c>
      <c r="V34" s="6">
        <v>172</v>
      </c>
      <c r="X34" s="34">
        <f t="shared" si="11"/>
        <v>212.5</v>
      </c>
      <c r="Y34" s="9">
        <v>444</v>
      </c>
      <c r="Z34" s="6" t="s">
        <v>70</v>
      </c>
    </row>
    <row r="35" spans="1:26" ht="15.75" customHeight="1">
      <c r="A35" s="6">
        <v>93</v>
      </c>
      <c r="B35" s="6">
        <v>20</v>
      </c>
      <c r="C35" s="6">
        <v>80</v>
      </c>
      <c r="D35" s="6">
        <v>20</v>
      </c>
      <c r="E35" s="6">
        <v>80</v>
      </c>
      <c r="F35" s="6">
        <v>2</v>
      </c>
      <c r="G35" s="6">
        <v>4</v>
      </c>
      <c r="M35" s="6" t="s">
        <v>41</v>
      </c>
      <c r="N35" s="6" t="s">
        <v>41</v>
      </c>
      <c r="R35" s="41" t="s">
        <v>41</v>
      </c>
      <c r="S35" s="6">
        <v>99</v>
      </c>
      <c r="T35" s="6">
        <v>177</v>
      </c>
      <c r="U35" s="6">
        <v>200</v>
      </c>
      <c r="V35" s="6">
        <v>124</v>
      </c>
      <c r="X35" s="34">
        <f t="shared" si="11"/>
        <v>138</v>
      </c>
      <c r="Y35" s="9" t="s">
        <v>41</v>
      </c>
      <c r="Z35" s="9" t="s">
        <v>71</v>
      </c>
    </row>
    <row r="36" spans="1:26" ht="15.75" customHeight="1">
      <c r="R36" s="14"/>
      <c r="X36" s="26"/>
      <c r="Y36" s="28"/>
    </row>
    <row r="37" spans="1:26" ht="15.75" customHeight="1">
      <c r="A37" s="6">
        <v>94</v>
      </c>
      <c r="B37" s="6">
        <v>50</v>
      </c>
      <c r="C37" s="6">
        <v>50</v>
      </c>
      <c r="D37" s="6">
        <v>50</v>
      </c>
      <c r="E37" s="6">
        <v>50</v>
      </c>
      <c r="F37" s="6">
        <v>2</v>
      </c>
      <c r="G37" s="6">
        <v>4</v>
      </c>
      <c r="M37" s="6">
        <v>134</v>
      </c>
      <c r="N37" s="6">
        <v>204</v>
      </c>
      <c r="R37" s="32">
        <f t="shared" ref="R37:R38" si="12">AVERAGE(M37:Q37)</f>
        <v>169</v>
      </c>
      <c r="S37" s="6">
        <v>219</v>
      </c>
      <c r="T37" s="6">
        <v>256</v>
      </c>
      <c r="U37" s="6">
        <v>158</v>
      </c>
      <c r="V37" s="6">
        <v>147</v>
      </c>
      <c r="X37" s="34">
        <f t="shared" ref="X37:X38" si="13">AVERAGE(S37:T37)</f>
        <v>237.5</v>
      </c>
      <c r="Y37" s="36">
        <f>76+334</f>
        <v>410</v>
      </c>
      <c r="Z37" s="6" t="s">
        <v>72</v>
      </c>
    </row>
    <row r="38" spans="1:26" ht="15.75" customHeight="1">
      <c r="A38" s="6">
        <v>95</v>
      </c>
      <c r="B38" s="6">
        <v>40</v>
      </c>
      <c r="C38" s="6">
        <v>60</v>
      </c>
      <c r="D38" s="6">
        <v>40</v>
      </c>
      <c r="E38" s="6">
        <v>60</v>
      </c>
      <c r="F38" s="6">
        <v>2</v>
      </c>
      <c r="G38" s="6">
        <v>4</v>
      </c>
      <c r="M38" s="6">
        <v>161</v>
      </c>
      <c r="N38" s="6">
        <v>328</v>
      </c>
      <c r="R38" s="32">
        <f t="shared" si="12"/>
        <v>244.5</v>
      </c>
      <c r="S38" s="6">
        <v>335</v>
      </c>
      <c r="T38" s="6">
        <v>259</v>
      </c>
      <c r="U38" s="6">
        <v>259</v>
      </c>
      <c r="V38" s="6">
        <v>183</v>
      </c>
      <c r="X38" s="34">
        <f t="shared" si="13"/>
        <v>297</v>
      </c>
      <c r="Y38" s="36">
        <f>35+431</f>
        <v>466</v>
      </c>
      <c r="Z38" s="6" t="s">
        <v>73</v>
      </c>
    </row>
    <row r="39" spans="1:26" ht="15.75" customHeight="1">
      <c r="A39" s="6" t="s">
        <v>45</v>
      </c>
      <c r="H39" s="42" t="s">
        <v>74</v>
      </c>
      <c r="R39" s="14"/>
      <c r="X39" s="26"/>
      <c r="Y39" s="28"/>
    </row>
    <row r="40" spans="1:26" ht="15.75" customHeight="1">
      <c r="A40" s="6"/>
      <c r="B40" s="6">
        <v>50</v>
      </c>
      <c r="C40" s="6">
        <v>50</v>
      </c>
      <c r="D40" s="6">
        <v>50</v>
      </c>
      <c r="E40" s="6">
        <v>60</v>
      </c>
      <c r="F40" s="6">
        <v>2</v>
      </c>
      <c r="G40" s="6">
        <v>4</v>
      </c>
      <c r="H40" s="25" t="s">
        <v>46</v>
      </c>
      <c r="R40" s="14"/>
      <c r="X40" s="26"/>
      <c r="Y40" s="28"/>
    </row>
    <row r="41" spans="1:26" ht="15.75" customHeight="1">
      <c r="A41" s="6"/>
      <c r="B41" s="6">
        <v>50</v>
      </c>
      <c r="C41" s="6">
        <v>50</v>
      </c>
      <c r="D41" s="6">
        <v>50</v>
      </c>
      <c r="E41" s="6">
        <v>70</v>
      </c>
      <c r="F41" s="6">
        <v>2</v>
      </c>
      <c r="G41" s="6">
        <v>4</v>
      </c>
      <c r="H41" s="25" t="s">
        <v>48</v>
      </c>
      <c r="R41" s="14"/>
      <c r="X41" s="26"/>
      <c r="Y41" s="28"/>
    </row>
    <row r="42" spans="1:26" ht="15.75" customHeight="1">
      <c r="A42" s="6"/>
      <c r="B42" s="6">
        <v>40</v>
      </c>
      <c r="C42" s="6">
        <v>60</v>
      </c>
      <c r="D42" s="6">
        <v>40</v>
      </c>
      <c r="E42" s="6">
        <v>70</v>
      </c>
      <c r="F42" s="6">
        <v>2</v>
      </c>
      <c r="G42" s="6">
        <v>4</v>
      </c>
      <c r="H42" s="25" t="s">
        <v>50</v>
      </c>
      <c r="R42" s="14"/>
      <c r="X42" s="26"/>
      <c r="Y42" s="28"/>
    </row>
    <row r="43" spans="1:26" ht="15.75" customHeight="1">
      <c r="A43" s="6"/>
      <c r="B43" s="6">
        <v>30</v>
      </c>
      <c r="C43" s="6">
        <v>70</v>
      </c>
      <c r="D43" s="6">
        <v>40</v>
      </c>
      <c r="E43" s="6">
        <v>80</v>
      </c>
      <c r="F43" s="6">
        <v>2</v>
      </c>
      <c r="G43" s="6">
        <v>4</v>
      </c>
      <c r="H43" s="25" t="s">
        <v>52</v>
      </c>
      <c r="R43" s="14"/>
      <c r="X43" s="26"/>
      <c r="Y43" s="28"/>
    </row>
    <row r="44" spans="1:26" ht="15.75" customHeight="1">
      <c r="A44" s="6"/>
      <c r="B44" s="6">
        <v>20</v>
      </c>
      <c r="C44" s="6">
        <v>80</v>
      </c>
      <c r="D44" s="6">
        <v>30</v>
      </c>
      <c r="E44" s="6">
        <v>80</v>
      </c>
      <c r="F44" s="6">
        <v>2</v>
      </c>
      <c r="G44" s="6">
        <v>4</v>
      </c>
      <c r="H44" s="25" t="s">
        <v>54</v>
      </c>
      <c r="R44" s="14"/>
      <c r="X44" s="26"/>
      <c r="Y44" s="28"/>
    </row>
    <row r="45" spans="1:26" ht="15.75" customHeight="1">
      <c r="A45" s="6"/>
      <c r="B45" s="6">
        <v>20</v>
      </c>
      <c r="C45" s="6">
        <v>80</v>
      </c>
      <c r="D45" s="6">
        <v>40</v>
      </c>
      <c r="E45" s="6">
        <v>80</v>
      </c>
      <c r="F45" s="6">
        <v>2</v>
      </c>
      <c r="G45" s="6">
        <v>4</v>
      </c>
      <c r="H45" s="25" t="s">
        <v>56</v>
      </c>
      <c r="R45" s="14"/>
      <c r="X45" s="26"/>
      <c r="Y45" s="28"/>
    </row>
    <row r="46" spans="1:26" ht="15.75" customHeight="1">
      <c r="R46" s="14"/>
      <c r="X46" s="26"/>
      <c r="Y46" s="28"/>
    </row>
    <row r="47" spans="1:26" ht="15.75" customHeight="1">
      <c r="R47" s="14"/>
      <c r="X47" s="26"/>
      <c r="Y47" s="28"/>
    </row>
    <row r="48" spans="1:26" ht="15.75" customHeight="1">
      <c r="R48" s="14"/>
      <c r="X48" s="26"/>
      <c r="Y48" s="28"/>
    </row>
    <row r="49" spans="18:25" ht="15.75" customHeight="1">
      <c r="R49" s="14"/>
      <c r="X49" s="26"/>
      <c r="Y49" s="28"/>
    </row>
    <row r="50" spans="18:25" ht="15.75" customHeight="1">
      <c r="R50" s="14"/>
      <c r="X50" s="26"/>
      <c r="Y50" s="28"/>
    </row>
    <row r="51" spans="18:25" ht="15.75" customHeight="1">
      <c r="R51" s="14"/>
      <c r="X51" s="26"/>
      <c r="Y51" s="28"/>
    </row>
    <row r="52" spans="18:25" ht="15.75" customHeight="1">
      <c r="R52" s="14"/>
      <c r="X52" s="26"/>
      <c r="Y52" s="28"/>
    </row>
    <row r="53" spans="18:25" ht="15.75" customHeight="1">
      <c r="R53" s="14"/>
      <c r="X53" s="26"/>
      <c r="Y53" s="28"/>
    </row>
    <row r="54" spans="18:25" ht="15.75" customHeight="1">
      <c r="R54" s="14"/>
      <c r="X54" s="26"/>
      <c r="Y54" s="28"/>
    </row>
    <row r="55" spans="18:25" ht="15.75" customHeight="1">
      <c r="R55" s="14"/>
      <c r="X55" s="26"/>
      <c r="Y55" s="28"/>
    </row>
    <row r="56" spans="18:25" ht="15.75" customHeight="1">
      <c r="R56" s="14"/>
      <c r="X56" s="26"/>
      <c r="Y56" s="28"/>
    </row>
    <row r="57" spans="18:25" ht="15.75" customHeight="1">
      <c r="R57" s="14"/>
      <c r="X57" s="26"/>
      <c r="Y57" s="28"/>
    </row>
    <row r="58" spans="18:25" ht="15.75" customHeight="1">
      <c r="R58" s="14"/>
      <c r="X58" s="26"/>
      <c r="Y58" s="28"/>
    </row>
    <row r="59" spans="18:25" ht="15.75" customHeight="1">
      <c r="R59" s="14"/>
      <c r="X59" s="26"/>
      <c r="Y59" s="28"/>
    </row>
    <row r="60" spans="18:25" ht="15.75" customHeight="1">
      <c r="R60" s="14"/>
      <c r="X60" s="26"/>
      <c r="Y60" s="28"/>
    </row>
    <row r="61" spans="18:25" ht="15.75" customHeight="1">
      <c r="R61" s="14"/>
      <c r="X61" s="26"/>
      <c r="Y61" s="28"/>
    </row>
    <row r="62" spans="18:25" ht="15.75" customHeight="1">
      <c r="R62" s="14"/>
      <c r="X62" s="26"/>
      <c r="Y62" s="28"/>
    </row>
    <row r="63" spans="18:25" ht="15.75" customHeight="1">
      <c r="R63" s="14"/>
      <c r="X63" s="26"/>
      <c r="Y63" s="28"/>
    </row>
    <row r="64" spans="18:25" ht="15.75" customHeight="1">
      <c r="R64" s="14"/>
      <c r="X64" s="26"/>
      <c r="Y64" s="28"/>
    </row>
    <row r="65" spans="18:25" ht="15.75" customHeight="1">
      <c r="R65" s="14"/>
      <c r="X65" s="26"/>
      <c r="Y65" s="28"/>
    </row>
    <row r="66" spans="18:25" ht="15.75" customHeight="1">
      <c r="R66" s="14"/>
      <c r="X66" s="26"/>
      <c r="Y66" s="28"/>
    </row>
    <row r="67" spans="18:25" ht="15.75" customHeight="1">
      <c r="R67" s="14"/>
      <c r="X67" s="26"/>
      <c r="Y67" s="28"/>
    </row>
    <row r="68" spans="18:25" ht="15.75" customHeight="1">
      <c r="R68" s="14"/>
      <c r="X68" s="26"/>
      <c r="Y68" s="28"/>
    </row>
    <row r="69" spans="18:25" ht="15.75" customHeight="1">
      <c r="R69" s="14"/>
      <c r="X69" s="26"/>
      <c r="Y69" s="28"/>
    </row>
    <row r="70" spans="18:25" ht="15.75" customHeight="1">
      <c r="R70" s="14"/>
      <c r="X70" s="26"/>
      <c r="Y70" s="28"/>
    </row>
    <row r="71" spans="18:25" ht="15.75" customHeight="1">
      <c r="R71" s="14"/>
      <c r="X71" s="26"/>
      <c r="Y71" s="28"/>
    </row>
    <row r="72" spans="18:25" ht="15.75" customHeight="1">
      <c r="R72" s="14"/>
      <c r="X72" s="26"/>
      <c r="Y72" s="28"/>
    </row>
    <row r="73" spans="18:25" ht="15.75" customHeight="1">
      <c r="R73" s="14"/>
      <c r="X73" s="26"/>
      <c r="Y73" s="28"/>
    </row>
    <row r="74" spans="18:25" ht="15.75" customHeight="1">
      <c r="R74" s="14"/>
      <c r="X74" s="26"/>
      <c r="Y74" s="28"/>
    </row>
    <row r="75" spans="18:25" ht="15.75" customHeight="1">
      <c r="R75" s="14"/>
      <c r="X75" s="26"/>
      <c r="Y75" s="28"/>
    </row>
    <row r="76" spans="18:25" ht="15.75" customHeight="1">
      <c r="R76" s="14"/>
      <c r="X76" s="26"/>
      <c r="Y76" s="28"/>
    </row>
    <row r="77" spans="18:25" ht="15.75" customHeight="1">
      <c r="R77" s="14"/>
      <c r="X77" s="26"/>
      <c r="Y77" s="28"/>
    </row>
    <row r="78" spans="18:25" ht="15.75" customHeight="1">
      <c r="R78" s="14"/>
      <c r="X78" s="26"/>
      <c r="Y78" s="28"/>
    </row>
    <row r="79" spans="18:25" ht="15.75" customHeight="1">
      <c r="R79" s="14"/>
      <c r="X79" s="26"/>
      <c r="Y79" s="28"/>
    </row>
    <row r="80" spans="18:25" ht="15.75" customHeight="1">
      <c r="R80" s="14"/>
      <c r="X80" s="26"/>
      <c r="Y80" s="28"/>
    </row>
    <row r="81" spans="18:25" ht="15.75" customHeight="1">
      <c r="R81" s="14"/>
      <c r="X81" s="26"/>
      <c r="Y81" s="28"/>
    </row>
    <row r="82" spans="18:25" ht="15.75" customHeight="1">
      <c r="R82" s="14"/>
      <c r="X82" s="26"/>
      <c r="Y82" s="28"/>
    </row>
    <row r="83" spans="18:25" ht="15.75" customHeight="1">
      <c r="R83" s="14"/>
      <c r="X83" s="26"/>
      <c r="Y83" s="28"/>
    </row>
    <row r="84" spans="18:25" ht="15.75" customHeight="1">
      <c r="R84" s="14"/>
      <c r="X84" s="26"/>
      <c r="Y84" s="28"/>
    </row>
    <row r="85" spans="18:25" ht="15.75" customHeight="1">
      <c r="R85" s="14"/>
      <c r="X85" s="26"/>
      <c r="Y85" s="28"/>
    </row>
    <row r="86" spans="18:25" ht="15.75" customHeight="1">
      <c r="R86" s="14"/>
      <c r="X86" s="26"/>
      <c r="Y86" s="28"/>
    </row>
    <row r="87" spans="18:25" ht="15.75" customHeight="1">
      <c r="R87" s="14"/>
      <c r="X87" s="26"/>
      <c r="Y87" s="28"/>
    </row>
    <row r="88" spans="18:25" ht="15.75" customHeight="1">
      <c r="R88" s="14"/>
      <c r="X88" s="26"/>
      <c r="Y88" s="28"/>
    </row>
    <row r="89" spans="18:25" ht="15.75" customHeight="1">
      <c r="R89" s="14"/>
      <c r="X89" s="26"/>
      <c r="Y89" s="28"/>
    </row>
    <row r="90" spans="18:25" ht="15.75" customHeight="1">
      <c r="R90" s="14"/>
      <c r="X90" s="26"/>
      <c r="Y90" s="28"/>
    </row>
    <row r="91" spans="18:25" ht="15.75" customHeight="1">
      <c r="R91" s="14"/>
      <c r="X91" s="26"/>
      <c r="Y91" s="28"/>
    </row>
    <row r="92" spans="18:25" ht="15.75" customHeight="1">
      <c r="R92" s="14"/>
      <c r="X92" s="26"/>
      <c r="Y92" s="28"/>
    </row>
    <row r="93" spans="18:25" ht="15.75" customHeight="1">
      <c r="R93" s="14"/>
      <c r="X93" s="26"/>
      <c r="Y93" s="28"/>
    </row>
    <row r="94" spans="18:25" ht="15.75" customHeight="1">
      <c r="R94" s="14"/>
      <c r="X94" s="26"/>
      <c r="Y94" s="28"/>
    </row>
    <row r="95" spans="18:25" ht="15.75" customHeight="1">
      <c r="R95" s="14"/>
      <c r="X95" s="26"/>
      <c r="Y95" s="28"/>
    </row>
    <row r="96" spans="18:25" ht="15.75" customHeight="1">
      <c r="R96" s="14"/>
      <c r="X96" s="26"/>
      <c r="Y96" s="28"/>
    </row>
    <row r="97" spans="18:25" ht="15.75" customHeight="1">
      <c r="R97" s="14"/>
      <c r="X97" s="26"/>
      <c r="Y97" s="28"/>
    </row>
    <row r="98" spans="18:25" ht="15.75" customHeight="1">
      <c r="R98" s="14"/>
      <c r="X98" s="26"/>
      <c r="Y98" s="28"/>
    </row>
    <row r="99" spans="18:25" ht="15.75" customHeight="1">
      <c r="R99" s="14"/>
      <c r="X99" s="26"/>
      <c r="Y99" s="28"/>
    </row>
    <row r="100" spans="18:25" ht="15.75" customHeight="1">
      <c r="R100" s="14"/>
      <c r="X100" s="26"/>
      <c r="Y100" s="28"/>
    </row>
    <row r="101" spans="18:25" ht="15.75" customHeight="1">
      <c r="R101" s="14"/>
      <c r="X101" s="26"/>
      <c r="Y101" s="28"/>
    </row>
    <row r="102" spans="18:25" ht="15.75" customHeight="1">
      <c r="R102" s="14"/>
      <c r="X102" s="26"/>
      <c r="Y102" s="28"/>
    </row>
    <row r="103" spans="18:25" ht="15.75" customHeight="1">
      <c r="R103" s="14"/>
      <c r="X103" s="26"/>
      <c r="Y103" s="28"/>
    </row>
    <row r="104" spans="18:25" ht="15.75" customHeight="1">
      <c r="R104" s="14"/>
      <c r="X104" s="26"/>
      <c r="Y104" s="28"/>
    </row>
    <row r="105" spans="18:25" ht="15.75" customHeight="1">
      <c r="R105" s="14"/>
      <c r="X105" s="26"/>
      <c r="Y105" s="28"/>
    </row>
    <row r="106" spans="18:25" ht="15.75" customHeight="1">
      <c r="R106" s="14"/>
      <c r="X106" s="26"/>
      <c r="Y106" s="28"/>
    </row>
    <row r="107" spans="18:25" ht="15.75" customHeight="1">
      <c r="R107" s="14"/>
      <c r="X107" s="26"/>
      <c r="Y107" s="28"/>
    </row>
    <row r="108" spans="18:25" ht="15.75" customHeight="1">
      <c r="R108" s="14"/>
      <c r="X108" s="26"/>
      <c r="Y108" s="28"/>
    </row>
    <row r="109" spans="18:25" ht="15.75" customHeight="1">
      <c r="R109" s="14"/>
      <c r="X109" s="26"/>
      <c r="Y109" s="28"/>
    </row>
    <row r="110" spans="18:25" ht="15.75" customHeight="1">
      <c r="R110" s="14"/>
      <c r="X110" s="26"/>
      <c r="Y110" s="28"/>
    </row>
    <row r="111" spans="18:25" ht="15.75" customHeight="1">
      <c r="R111" s="14"/>
      <c r="X111" s="26"/>
      <c r="Y111" s="28"/>
    </row>
    <row r="112" spans="18:25" ht="15.75" customHeight="1">
      <c r="R112" s="14"/>
      <c r="X112" s="26"/>
      <c r="Y112" s="28"/>
    </row>
    <row r="113" spans="18:25" ht="15.75" customHeight="1">
      <c r="R113" s="14"/>
      <c r="X113" s="26"/>
      <c r="Y113" s="28"/>
    </row>
    <row r="114" spans="18:25" ht="15.75" customHeight="1">
      <c r="R114" s="14"/>
      <c r="X114" s="26"/>
      <c r="Y114" s="28"/>
    </row>
    <row r="115" spans="18:25" ht="15.75" customHeight="1">
      <c r="R115" s="14"/>
      <c r="X115" s="26"/>
      <c r="Y115" s="28"/>
    </row>
    <row r="116" spans="18:25" ht="15.75" customHeight="1">
      <c r="R116" s="14"/>
      <c r="X116" s="26"/>
      <c r="Y116" s="28"/>
    </row>
    <row r="117" spans="18:25" ht="15.75" customHeight="1">
      <c r="R117" s="14"/>
      <c r="X117" s="26"/>
      <c r="Y117" s="28"/>
    </row>
    <row r="118" spans="18:25" ht="15.75" customHeight="1">
      <c r="R118" s="14"/>
      <c r="X118" s="26"/>
      <c r="Y118" s="28"/>
    </row>
    <row r="119" spans="18:25" ht="15.75" customHeight="1">
      <c r="R119" s="14"/>
      <c r="X119" s="26"/>
      <c r="Y119" s="28"/>
    </row>
    <row r="120" spans="18:25" ht="15.75" customHeight="1">
      <c r="R120" s="14"/>
      <c r="X120" s="26"/>
      <c r="Y120" s="28"/>
    </row>
    <row r="121" spans="18:25" ht="15.75" customHeight="1">
      <c r="R121" s="14"/>
      <c r="X121" s="26"/>
      <c r="Y121" s="28"/>
    </row>
    <row r="122" spans="18:25" ht="15.75" customHeight="1">
      <c r="R122" s="14"/>
      <c r="X122" s="26"/>
      <c r="Y122" s="28"/>
    </row>
    <row r="123" spans="18:25" ht="15.75" customHeight="1">
      <c r="R123" s="14"/>
      <c r="X123" s="26"/>
      <c r="Y123" s="28"/>
    </row>
    <row r="124" spans="18:25" ht="15.75" customHeight="1">
      <c r="R124" s="14"/>
      <c r="X124" s="26"/>
      <c r="Y124" s="28"/>
    </row>
    <row r="125" spans="18:25" ht="15.75" customHeight="1">
      <c r="R125" s="14"/>
      <c r="X125" s="26"/>
      <c r="Y125" s="28"/>
    </row>
    <row r="126" spans="18:25" ht="15.75" customHeight="1">
      <c r="R126" s="14"/>
      <c r="X126" s="26"/>
      <c r="Y126" s="28"/>
    </row>
    <row r="127" spans="18:25" ht="15.75" customHeight="1">
      <c r="R127" s="14"/>
      <c r="X127" s="26"/>
      <c r="Y127" s="28"/>
    </row>
    <row r="128" spans="18:25" ht="15.75" customHeight="1">
      <c r="R128" s="14"/>
      <c r="X128" s="26"/>
      <c r="Y128" s="28"/>
    </row>
    <row r="129" spans="18:25" ht="15.75" customHeight="1">
      <c r="R129" s="14"/>
      <c r="X129" s="26"/>
      <c r="Y129" s="28"/>
    </row>
    <row r="130" spans="18:25" ht="15.75" customHeight="1">
      <c r="R130" s="14"/>
      <c r="X130" s="26"/>
      <c r="Y130" s="28"/>
    </row>
    <row r="131" spans="18:25" ht="15.75" customHeight="1">
      <c r="R131" s="14"/>
      <c r="X131" s="26"/>
      <c r="Y131" s="28"/>
    </row>
    <row r="132" spans="18:25" ht="15.75" customHeight="1">
      <c r="R132" s="14"/>
      <c r="X132" s="26"/>
      <c r="Y132" s="28"/>
    </row>
    <row r="133" spans="18:25" ht="15.75" customHeight="1">
      <c r="R133" s="14"/>
      <c r="X133" s="26"/>
      <c r="Y133" s="28"/>
    </row>
    <row r="134" spans="18:25" ht="15.75" customHeight="1">
      <c r="R134" s="14"/>
      <c r="X134" s="26"/>
      <c r="Y134" s="28"/>
    </row>
    <row r="135" spans="18:25" ht="15.75" customHeight="1">
      <c r="R135" s="14"/>
      <c r="X135" s="26"/>
      <c r="Y135" s="28"/>
    </row>
    <row r="136" spans="18:25" ht="15.75" customHeight="1">
      <c r="R136" s="14"/>
      <c r="X136" s="26"/>
      <c r="Y136" s="28"/>
    </row>
    <row r="137" spans="18:25" ht="15.75" customHeight="1">
      <c r="R137" s="14"/>
      <c r="X137" s="26"/>
      <c r="Y137" s="28"/>
    </row>
    <row r="138" spans="18:25" ht="15.75" customHeight="1">
      <c r="R138" s="14"/>
      <c r="X138" s="26"/>
      <c r="Y138" s="28"/>
    </row>
    <row r="139" spans="18:25" ht="15.75" customHeight="1">
      <c r="R139" s="14"/>
      <c r="X139" s="26"/>
      <c r="Y139" s="28"/>
    </row>
    <row r="140" spans="18:25" ht="15.75" customHeight="1">
      <c r="R140" s="14"/>
      <c r="X140" s="26"/>
      <c r="Y140" s="28"/>
    </row>
    <row r="141" spans="18:25" ht="15.75" customHeight="1">
      <c r="R141" s="14"/>
      <c r="X141" s="26"/>
      <c r="Y141" s="28"/>
    </row>
    <row r="142" spans="18:25" ht="15.75" customHeight="1">
      <c r="R142" s="14"/>
      <c r="X142" s="26"/>
      <c r="Y142" s="28"/>
    </row>
    <row r="143" spans="18:25" ht="15.75" customHeight="1">
      <c r="R143" s="14"/>
      <c r="X143" s="26"/>
      <c r="Y143" s="28"/>
    </row>
    <row r="144" spans="18:25" ht="15.75" customHeight="1">
      <c r="R144" s="14"/>
      <c r="X144" s="26"/>
      <c r="Y144" s="28"/>
    </row>
    <row r="145" spans="18:25" ht="15.75" customHeight="1">
      <c r="R145" s="14"/>
      <c r="X145" s="26"/>
      <c r="Y145" s="28"/>
    </row>
    <row r="146" spans="18:25" ht="15.75" customHeight="1">
      <c r="R146" s="14"/>
      <c r="X146" s="26"/>
      <c r="Y146" s="28"/>
    </row>
    <row r="147" spans="18:25" ht="15.75" customHeight="1">
      <c r="R147" s="14"/>
      <c r="X147" s="26"/>
      <c r="Y147" s="28"/>
    </row>
    <row r="148" spans="18:25" ht="15.75" customHeight="1">
      <c r="R148" s="14"/>
      <c r="X148" s="26"/>
      <c r="Y148" s="28"/>
    </row>
    <row r="149" spans="18:25" ht="15.75" customHeight="1">
      <c r="R149" s="14"/>
      <c r="X149" s="26"/>
      <c r="Y149" s="28"/>
    </row>
    <row r="150" spans="18:25" ht="15.75" customHeight="1">
      <c r="R150" s="14"/>
      <c r="X150" s="26"/>
      <c r="Y150" s="28"/>
    </row>
    <row r="151" spans="18:25" ht="15.75" customHeight="1">
      <c r="R151" s="14"/>
      <c r="X151" s="26"/>
      <c r="Y151" s="28"/>
    </row>
    <row r="152" spans="18:25" ht="15.75" customHeight="1">
      <c r="R152" s="14"/>
      <c r="X152" s="26"/>
      <c r="Y152" s="28"/>
    </row>
    <row r="153" spans="18:25" ht="15.75" customHeight="1">
      <c r="R153" s="14"/>
      <c r="X153" s="26"/>
      <c r="Y153" s="28"/>
    </row>
    <row r="154" spans="18:25" ht="15.75" customHeight="1">
      <c r="R154" s="14"/>
      <c r="X154" s="26"/>
      <c r="Y154" s="28"/>
    </row>
    <row r="155" spans="18:25" ht="15.75" customHeight="1">
      <c r="R155" s="14"/>
      <c r="X155" s="26"/>
      <c r="Y155" s="28"/>
    </row>
    <row r="156" spans="18:25" ht="15.75" customHeight="1">
      <c r="R156" s="14"/>
      <c r="X156" s="26"/>
      <c r="Y156" s="28"/>
    </row>
    <row r="157" spans="18:25" ht="15.75" customHeight="1">
      <c r="R157" s="14"/>
      <c r="X157" s="26"/>
      <c r="Y157" s="28"/>
    </row>
    <row r="158" spans="18:25" ht="15.75" customHeight="1">
      <c r="R158" s="14"/>
      <c r="X158" s="26"/>
      <c r="Y158" s="28"/>
    </row>
    <row r="159" spans="18:25" ht="15.75" customHeight="1">
      <c r="R159" s="14"/>
      <c r="X159" s="26"/>
      <c r="Y159" s="28"/>
    </row>
    <row r="160" spans="18:25" ht="15.75" customHeight="1">
      <c r="R160" s="14"/>
      <c r="X160" s="26"/>
      <c r="Y160" s="28"/>
    </row>
    <row r="161" spans="18:25" ht="15.75" customHeight="1">
      <c r="R161" s="14"/>
      <c r="X161" s="26"/>
      <c r="Y161" s="28"/>
    </row>
    <row r="162" spans="18:25" ht="15.75" customHeight="1">
      <c r="R162" s="14"/>
      <c r="X162" s="26"/>
      <c r="Y162" s="28"/>
    </row>
    <row r="163" spans="18:25" ht="15.75" customHeight="1">
      <c r="R163" s="14"/>
      <c r="X163" s="26"/>
      <c r="Y163" s="28"/>
    </row>
    <row r="164" spans="18:25" ht="15.75" customHeight="1">
      <c r="R164" s="14"/>
      <c r="X164" s="26"/>
      <c r="Y164" s="28"/>
    </row>
    <row r="165" spans="18:25" ht="15.75" customHeight="1">
      <c r="R165" s="14"/>
      <c r="X165" s="26"/>
      <c r="Y165" s="28"/>
    </row>
    <row r="166" spans="18:25" ht="15.75" customHeight="1">
      <c r="R166" s="14"/>
      <c r="X166" s="26"/>
      <c r="Y166" s="28"/>
    </row>
    <row r="167" spans="18:25" ht="15.75" customHeight="1">
      <c r="R167" s="14"/>
      <c r="X167" s="26"/>
      <c r="Y167" s="28"/>
    </row>
    <row r="168" spans="18:25" ht="15.75" customHeight="1">
      <c r="R168" s="14"/>
      <c r="X168" s="26"/>
      <c r="Y168" s="28"/>
    </row>
    <row r="169" spans="18:25" ht="15.75" customHeight="1">
      <c r="R169" s="14"/>
      <c r="X169" s="26"/>
      <c r="Y169" s="28"/>
    </row>
    <row r="170" spans="18:25" ht="15.75" customHeight="1">
      <c r="R170" s="14"/>
      <c r="X170" s="26"/>
      <c r="Y170" s="28"/>
    </row>
    <row r="171" spans="18:25" ht="15.75" customHeight="1">
      <c r="R171" s="14"/>
      <c r="X171" s="26"/>
      <c r="Y171" s="28"/>
    </row>
    <row r="172" spans="18:25" ht="15.75" customHeight="1">
      <c r="R172" s="14"/>
      <c r="X172" s="26"/>
      <c r="Y172" s="28"/>
    </row>
    <row r="173" spans="18:25" ht="15.75" customHeight="1">
      <c r="R173" s="14"/>
      <c r="X173" s="26"/>
      <c r="Y173" s="28"/>
    </row>
    <row r="174" spans="18:25" ht="15.75" customHeight="1">
      <c r="R174" s="14"/>
      <c r="X174" s="26"/>
      <c r="Y174" s="28"/>
    </row>
    <row r="175" spans="18:25" ht="15.75" customHeight="1">
      <c r="R175" s="14"/>
      <c r="X175" s="26"/>
      <c r="Y175" s="28"/>
    </row>
    <row r="176" spans="18:25" ht="15.75" customHeight="1">
      <c r="R176" s="14"/>
      <c r="X176" s="26"/>
      <c r="Y176" s="28"/>
    </row>
    <row r="177" spans="18:25" ht="15.75" customHeight="1">
      <c r="R177" s="14"/>
      <c r="X177" s="26"/>
      <c r="Y177" s="28"/>
    </row>
    <row r="178" spans="18:25" ht="15.75" customHeight="1">
      <c r="R178" s="14"/>
      <c r="X178" s="26"/>
      <c r="Y178" s="28"/>
    </row>
    <row r="179" spans="18:25" ht="15.75" customHeight="1">
      <c r="R179" s="14"/>
      <c r="X179" s="26"/>
      <c r="Y179" s="28"/>
    </row>
    <row r="180" spans="18:25" ht="15.75" customHeight="1">
      <c r="R180" s="14"/>
      <c r="X180" s="26"/>
      <c r="Y180" s="28"/>
    </row>
    <row r="181" spans="18:25" ht="15.75" customHeight="1">
      <c r="R181" s="14"/>
      <c r="X181" s="26"/>
      <c r="Y181" s="28"/>
    </row>
    <row r="182" spans="18:25" ht="15.75" customHeight="1">
      <c r="R182" s="14"/>
      <c r="X182" s="26"/>
      <c r="Y182" s="28"/>
    </row>
    <row r="183" spans="18:25" ht="15.75" customHeight="1">
      <c r="R183" s="14"/>
      <c r="X183" s="26"/>
      <c r="Y183" s="28"/>
    </row>
    <row r="184" spans="18:25" ht="15.75" customHeight="1">
      <c r="R184" s="14"/>
      <c r="X184" s="26"/>
      <c r="Y184" s="28"/>
    </row>
    <row r="185" spans="18:25" ht="15.75" customHeight="1">
      <c r="R185" s="14"/>
      <c r="X185" s="26"/>
      <c r="Y185" s="28"/>
    </row>
    <row r="186" spans="18:25" ht="15.75" customHeight="1">
      <c r="R186" s="14"/>
      <c r="X186" s="26"/>
      <c r="Y186" s="28"/>
    </row>
    <row r="187" spans="18:25" ht="15.75" customHeight="1">
      <c r="R187" s="14"/>
      <c r="X187" s="26"/>
      <c r="Y187" s="28"/>
    </row>
    <row r="188" spans="18:25" ht="15.75" customHeight="1">
      <c r="R188" s="14"/>
      <c r="X188" s="26"/>
      <c r="Y188" s="28"/>
    </row>
    <row r="189" spans="18:25" ht="15.75" customHeight="1">
      <c r="R189" s="14"/>
      <c r="X189" s="26"/>
      <c r="Y189" s="28"/>
    </row>
    <row r="190" spans="18:25" ht="15.75" customHeight="1">
      <c r="R190" s="14"/>
      <c r="X190" s="26"/>
      <c r="Y190" s="28"/>
    </row>
    <row r="191" spans="18:25" ht="15.75" customHeight="1">
      <c r="R191" s="14"/>
      <c r="X191" s="26"/>
      <c r="Y191" s="28"/>
    </row>
    <row r="192" spans="18:25" ht="15.75" customHeight="1">
      <c r="R192" s="14"/>
      <c r="X192" s="26"/>
      <c r="Y192" s="28"/>
    </row>
    <row r="193" spans="18:25" ht="15.75" customHeight="1">
      <c r="R193" s="14"/>
      <c r="X193" s="26"/>
      <c r="Y193" s="28"/>
    </row>
    <row r="194" spans="18:25" ht="15.75" customHeight="1">
      <c r="R194" s="14"/>
      <c r="X194" s="26"/>
      <c r="Y194" s="28"/>
    </row>
    <row r="195" spans="18:25" ht="15.75" customHeight="1">
      <c r="R195" s="14"/>
      <c r="X195" s="26"/>
      <c r="Y195" s="28"/>
    </row>
    <row r="196" spans="18:25" ht="15.75" customHeight="1">
      <c r="R196" s="14"/>
      <c r="X196" s="26"/>
      <c r="Y196" s="28"/>
    </row>
    <row r="197" spans="18:25" ht="15.75" customHeight="1">
      <c r="R197" s="14"/>
      <c r="X197" s="26"/>
      <c r="Y197" s="28"/>
    </row>
    <row r="198" spans="18:25" ht="15.75" customHeight="1">
      <c r="R198" s="14"/>
      <c r="X198" s="26"/>
      <c r="Y198" s="28"/>
    </row>
    <row r="199" spans="18:25" ht="15.75" customHeight="1">
      <c r="R199" s="14"/>
      <c r="X199" s="26"/>
      <c r="Y199" s="28"/>
    </row>
    <row r="200" spans="18:25" ht="15.75" customHeight="1">
      <c r="R200" s="14"/>
      <c r="X200" s="26"/>
      <c r="Y200" s="28"/>
    </row>
    <row r="201" spans="18:25" ht="15.75" customHeight="1">
      <c r="R201" s="14"/>
      <c r="X201" s="26"/>
      <c r="Y201" s="28"/>
    </row>
    <row r="202" spans="18:25" ht="15.75" customHeight="1">
      <c r="R202" s="14"/>
      <c r="X202" s="26"/>
      <c r="Y202" s="28"/>
    </row>
    <row r="203" spans="18:25" ht="15.75" customHeight="1">
      <c r="R203" s="14"/>
      <c r="X203" s="26"/>
      <c r="Y203" s="28"/>
    </row>
    <row r="204" spans="18:25" ht="15.75" customHeight="1">
      <c r="R204" s="14"/>
      <c r="X204" s="26"/>
      <c r="Y204" s="28"/>
    </row>
    <row r="205" spans="18:25" ht="15.75" customHeight="1">
      <c r="R205" s="14"/>
      <c r="X205" s="26"/>
      <c r="Y205" s="28"/>
    </row>
    <row r="206" spans="18:25" ht="15.75" customHeight="1">
      <c r="R206" s="14"/>
      <c r="X206" s="26"/>
      <c r="Y206" s="28"/>
    </row>
    <row r="207" spans="18:25" ht="15.75" customHeight="1">
      <c r="R207" s="14"/>
      <c r="X207" s="26"/>
      <c r="Y207" s="28"/>
    </row>
    <row r="208" spans="18:25" ht="15.75" customHeight="1">
      <c r="R208" s="14"/>
      <c r="X208" s="26"/>
      <c r="Y208" s="28"/>
    </row>
    <row r="209" spans="18:25" ht="15.75" customHeight="1">
      <c r="R209" s="14"/>
      <c r="X209" s="26"/>
      <c r="Y209" s="28"/>
    </row>
    <row r="210" spans="18:25" ht="15.75" customHeight="1">
      <c r="R210" s="14"/>
      <c r="X210" s="26"/>
      <c r="Y210" s="28"/>
    </row>
    <row r="211" spans="18:25" ht="15.75" customHeight="1">
      <c r="R211" s="14"/>
      <c r="X211" s="26"/>
      <c r="Y211" s="28"/>
    </row>
    <row r="212" spans="18:25" ht="15.75" customHeight="1">
      <c r="R212" s="14"/>
      <c r="X212" s="26"/>
      <c r="Y212" s="28"/>
    </row>
    <row r="213" spans="18:25" ht="15.75" customHeight="1">
      <c r="R213" s="14"/>
      <c r="X213" s="26"/>
      <c r="Y213" s="28"/>
    </row>
    <row r="214" spans="18:25" ht="15.75" customHeight="1">
      <c r="R214" s="14"/>
      <c r="X214" s="26"/>
      <c r="Y214" s="28"/>
    </row>
    <row r="215" spans="18:25" ht="15.75" customHeight="1">
      <c r="R215" s="14"/>
      <c r="X215" s="26"/>
      <c r="Y215" s="28"/>
    </row>
    <row r="216" spans="18:25" ht="15.75" customHeight="1">
      <c r="R216" s="14"/>
      <c r="X216" s="26"/>
      <c r="Y216" s="28"/>
    </row>
    <row r="217" spans="18:25" ht="15.75" customHeight="1">
      <c r="R217" s="14"/>
      <c r="X217" s="26"/>
      <c r="Y217" s="28"/>
    </row>
    <row r="218" spans="18:25" ht="15.75" customHeight="1">
      <c r="R218" s="14"/>
      <c r="X218" s="26"/>
      <c r="Y218" s="28"/>
    </row>
    <row r="219" spans="18:25" ht="15.75" customHeight="1">
      <c r="R219" s="14"/>
      <c r="X219" s="26"/>
      <c r="Y219" s="28"/>
    </row>
    <row r="220" spans="18:25" ht="15.75" customHeight="1">
      <c r="R220" s="14"/>
      <c r="X220" s="26"/>
      <c r="Y220" s="28"/>
    </row>
    <row r="221" spans="18:25" ht="15.75" customHeight="1">
      <c r="R221" s="14"/>
      <c r="X221" s="26"/>
      <c r="Y221" s="28"/>
    </row>
    <row r="222" spans="18:25" ht="15.75" customHeight="1">
      <c r="R222" s="14"/>
      <c r="X222" s="26"/>
      <c r="Y222" s="28"/>
    </row>
    <row r="223" spans="18:25" ht="15.75" customHeight="1">
      <c r="R223" s="14"/>
      <c r="X223" s="26"/>
      <c r="Y223" s="28"/>
    </row>
    <row r="224" spans="18:25" ht="15.75" customHeight="1">
      <c r="R224" s="14"/>
      <c r="X224" s="26"/>
      <c r="Y224" s="28"/>
    </row>
    <row r="225" spans="18:25" ht="15.75" customHeight="1">
      <c r="R225" s="14"/>
      <c r="X225" s="26"/>
      <c r="Y225" s="28"/>
    </row>
    <row r="226" spans="18:25" ht="15.75" customHeight="1">
      <c r="R226" s="14"/>
      <c r="X226" s="26"/>
      <c r="Y226" s="28"/>
    </row>
    <row r="227" spans="18:25" ht="15.75" customHeight="1">
      <c r="R227" s="14"/>
      <c r="X227" s="26"/>
      <c r="Y227" s="28"/>
    </row>
    <row r="228" spans="18:25" ht="15.75" customHeight="1">
      <c r="R228" s="14"/>
      <c r="X228" s="26"/>
      <c r="Y228" s="28"/>
    </row>
    <row r="229" spans="18:25" ht="15.75" customHeight="1">
      <c r="R229" s="14"/>
      <c r="X229" s="26"/>
      <c r="Y229" s="28"/>
    </row>
    <row r="230" spans="18:25" ht="15.75" customHeight="1">
      <c r="R230" s="14"/>
      <c r="X230" s="26"/>
      <c r="Y230" s="28"/>
    </row>
    <row r="231" spans="18:25" ht="15.75" customHeight="1">
      <c r="R231" s="14"/>
      <c r="X231" s="26"/>
      <c r="Y231" s="28"/>
    </row>
    <row r="232" spans="18:25" ht="15.75" customHeight="1">
      <c r="R232" s="14"/>
      <c r="X232" s="26"/>
      <c r="Y232" s="28"/>
    </row>
    <row r="233" spans="18:25" ht="15.75" customHeight="1">
      <c r="R233" s="14"/>
      <c r="X233" s="26"/>
      <c r="Y233" s="28"/>
    </row>
    <row r="234" spans="18:25" ht="15.75" customHeight="1">
      <c r="R234" s="14"/>
      <c r="X234" s="26"/>
      <c r="Y234" s="28"/>
    </row>
    <row r="235" spans="18:25" ht="15.75" customHeight="1">
      <c r="R235" s="14"/>
      <c r="X235" s="26"/>
      <c r="Y235" s="28"/>
    </row>
    <row r="236" spans="18:25" ht="15.75" customHeight="1">
      <c r="R236" s="14"/>
      <c r="X236" s="26"/>
      <c r="Y236" s="28"/>
    </row>
    <row r="237" spans="18:25" ht="15.75" customHeight="1">
      <c r="R237" s="14"/>
      <c r="X237" s="26"/>
      <c r="Y237" s="28"/>
    </row>
    <row r="238" spans="18:25" ht="15.75" customHeight="1">
      <c r="R238" s="14"/>
      <c r="X238" s="26"/>
      <c r="Y238" s="28"/>
    </row>
    <row r="239" spans="18:25" ht="15.75" customHeight="1">
      <c r="R239" s="14"/>
      <c r="X239" s="26"/>
      <c r="Y239" s="28"/>
    </row>
    <row r="240" spans="18:25" ht="15.75" customHeight="1">
      <c r="R240" s="14"/>
      <c r="X240" s="26"/>
      <c r="Y240" s="28"/>
    </row>
    <row r="241" spans="18:25" ht="15.75" customHeight="1">
      <c r="R241" s="14"/>
      <c r="X241" s="26"/>
      <c r="Y241" s="28"/>
    </row>
    <row r="242" spans="18:25" ht="15.75" customHeight="1">
      <c r="R242" s="14"/>
      <c r="X242" s="26"/>
      <c r="Y242" s="28"/>
    </row>
    <row r="243" spans="18:25" ht="15.75" customHeight="1">
      <c r="R243" s="14"/>
      <c r="X243" s="26"/>
      <c r="Y243" s="28"/>
    </row>
    <row r="244" spans="18:25" ht="15.75" customHeight="1">
      <c r="R244" s="14"/>
      <c r="X244" s="26"/>
      <c r="Y244" s="28"/>
    </row>
    <row r="245" spans="18:25" ht="15.75" customHeight="1">
      <c r="R245" s="14"/>
      <c r="X245" s="26"/>
      <c r="Y245" s="28"/>
    </row>
    <row r="246" spans="18:25" ht="15.75" customHeight="1">
      <c r="R246" s="14"/>
      <c r="X246" s="26"/>
      <c r="Y246" s="28"/>
    </row>
    <row r="247" spans="18:25" ht="15.75" customHeight="1">
      <c r="R247" s="14"/>
      <c r="X247" s="26"/>
      <c r="Y247" s="28"/>
    </row>
    <row r="248" spans="18:25" ht="15.75" customHeight="1">
      <c r="R248" s="14"/>
      <c r="X248" s="26"/>
      <c r="Y248" s="28"/>
    </row>
    <row r="249" spans="18:25" ht="15.75" customHeight="1">
      <c r="R249" s="14"/>
      <c r="X249" s="26"/>
      <c r="Y249" s="28"/>
    </row>
    <row r="250" spans="18:25" ht="15.75" customHeight="1">
      <c r="R250" s="14"/>
      <c r="X250" s="26"/>
      <c r="Y250" s="28"/>
    </row>
    <row r="251" spans="18:25" ht="15.75" customHeight="1">
      <c r="R251" s="14"/>
      <c r="X251" s="26"/>
      <c r="Y251" s="28"/>
    </row>
    <row r="252" spans="18:25" ht="15.75" customHeight="1">
      <c r="R252" s="14"/>
      <c r="X252" s="26"/>
      <c r="Y252" s="28"/>
    </row>
    <row r="253" spans="18:25" ht="15.75" customHeight="1">
      <c r="R253" s="14"/>
      <c r="X253" s="26"/>
      <c r="Y253" s="28"/>
    </row>
    <row r="254" spans="18:25" ht="15.75" customHeight="1">
      <c r="R254" s="14"/>
      <c r="X254" s="26"/>
      <c r="Y254" s="28"/>
    </row>
    <row r="255" spans="18:25" ht="15.75" customHeight="1">
      <c r="R255" s="14"/>
      <c r="X255" s="26"/>
      <c r="Y255" s="28"/>
    </row>
    <row r="256" spans="18:25" ht="15.75" customHeight="1">
      <c r="R256" s="14"/>
      <c r="X256" s="26"/>
      <c r="Y256" s="28"/>
    </row>
    <row r="257" spans="18:25" ht="15.75" customHeight="1">
      <c r="R257" s="14"/>
      <c r="X257" s="26"/>
      <c r="Y257" s="28"/>
    </row>
    <row r="258" spans="18:25" ht="15.75" customHeight="1">
      <c r="R258" s="14"/>
      <c r="X258" s="26"/>
      <c r="Y258" s="28"/>
    </row>
    <row r="259" spans="18:25" ht="15.75" customHeight="1">
      <c r="R259" s="14"/>
      <c r="X259" s="26"/>
      <c r="Y259" s="28"/>
    </row>
    <row r="260" spans="18:25" ht="15.75" customHeight="1">
      <c r="R260" s="14"/>
      <c r="X260" s="26"/>
      <c r="Y260" s="28"/>
    </row>
    <row r="261" spans="18:25" ht="15.75" customHeight="1">
      <c r="R261" s="14"/>
      <c r="X261" s="26"/>
      <c r="Y261" s="28"/>
    </row>
    <row r="262" spans="18:25" ht="15.75" customHeight="1">
      <c r="R262" s="14"/>
      <c r="X262" s="26"/>
      <c r="Y262" s="28"/>
    </row>
    <row r="263" spans="18:25" ht="15.75" customHeight="1">
      <c r="R263" s="14"/>
      <c r="X263" s="26"/>
      <c r="Y263" s="28"/>
    </row>
    <row r="264" spans="18:25" ht="15.75" customHeight="1">
      <c r="R264" s="14"/>
      <c r="X264" s="26"/>
      <c r="Y264" s="28"/>
    </row>
    <row r="265" spans="18:25" ht="15.75" customHeight="1">
      <c r="R265" s="14"/>
      <c r="X265" s="26"/>
      <c r="Y265" s="28"/>
    </row>
    <row r="266" spans="18:25" ht="15.75" customHeight="1">
      <c r="R266" s="14"/>
      <c r="X266" s="26"/>
      <c r="Y266" s="28"/>
    </row>
    <row r="267" spans="18:25" ht="15.75" customHeight="1">
      <c r="R267" s="14"/>
      <c r="X267" s="26"/>
      <c r="Y267" s="28"/>
    </row>
    <row r="268" spans="18:25" ht="15.75" customHeight="1">
      <c r="R268" s="14"/>
      <c r="X268" s="26"/>
      <c r="Y268" s="28"/>
    </row>
    <row r="269" spans="18:25" ht="15.75" customHeight="1">
      <c r="R269" s="14"/>
      <c r="X269" s="26"/>
      <c r="Y269" s="28"/>
    </row>
    <row r="270" spans="18:25" ht="15.75" customHeight="1">
      <c r="R270" s="14"/>
      <c r="X270" s="26"/>
      <c r="Y270" s="28"/>
    </row>
    <row r="271" spans="18:25" ht="15.75" customHeight="1">
      <c r="R271" s="14"/>
      <c r="X271" s="26"/>
      <c r="Y271" s="28"/>
    </row>
    <row r="272" spans="18:25" ht="15.75" customHeight="1">
      <c r="R272" s="14"/>
      <c r="X272" s="26"/>
      <c r="Y272" s="28"/>
    </row>
    <row r="273" spans="18:25" ht="15.75" customHeight="1">
      <c r="R273" s="14"/>
      <c r="X273" s="26"/>
      <c r="Y273" s="28"/>
    </row>
    <row r="274" spans="18:25" ht="15.75" customHeight="1">
      <c r="R274" s="14"/>
      <c r="X274" s="26"/>
      <c r="Y274" s="28"/>
    </row>
    <row r="275" spans="18:25" ht="15.75" customHeight="1">
      <c r="R275" s="14"/>
      <c r="X275" s="26"/>
      <c r="Y275" s="28"/>
    </row>
    <row r="276" spans="18:25" ht="15.75" customHeight="1">
      <c r="R276" s="14"/>
      <c r="X276" s="26"/>
      <c r="Y276" s="28"/>
    </row>
    <row r="277" spans="18:25" ht="15.75" customHeight="1">
      <c r="R277" s="14"/>
      <c r="X277" s="26"/>
      <c r="Y277" s="28"/>
    </row>
    <row r="278" spans="18:25" ht="15.75" customHeight="1">
      <c r="R278" s="14"/>
      <c r="X278" s="26"/>
      <c r="Y278" s="28"/>
    </row>
    <row r="279" spans="18:25" ht="15.75" customHeight="1">
      <c r="R279" s="14"/>
      <c r="X279" s="26"/>
      <c r="Y279" s="28"/>
    </row>
    <row r="280" spans="18:25" ht="15.75" customHeight="1">
      <c r="R280" s="14"/>
      <c r="X280" s="26"/>
      <c r="Y280" s="28"/>
    </row>
    <row r="281" spans="18:25" ht="15.75" customHeight="1">
      <c r="R281" s="14"/>
      <c r="X281" s="26"/>
      <c r="Y281" s="28"/>
    </row>
    <row r="282" spans="18:25" ht="15.75" customHeight="1">
      <c r="R282" s="14"/>
      <c r="X282" s="26"/>
      <c r="Y282" s="28"/>
    </row>
    <row r="283" spans="18:25" ht="15.75" customHeight="1">
      <c r="R283" s="14"/>
      <c r="X283" s="26"/>
      <c r="Y283" s="28"/>
    </row>
    <row r="284" spans="18:25" ht="15.75" customHeight="1">
      <c r="R284" s="14"/>
      <c r="X284" s="26"/>
      <c r="Y284" s="28"/>
    </row>
    <row r="285" spans="18:25" ht="15.75" customHeight="1">
      <c r="R285" s="14"/>
      <c r="X285" s="26"/>
      <c r="Y285" s="28"/>
    </row>
    <row r="286" spans="18:25" ht="15.75" customHeight="1">
      <c r="R286" s="14"/>
      <c r="X286" s="26"/>
      <c r="Y286" s="28"/>
    </row>
    <row r="287" spans="18:25" ht="15.75" customHeight="1">
      <c r="R287" s="14"/>
      <c r="X287" s="26"/>
      <c r="Y287" s="28"/>
    </row>
    <row r="288" spans="18:25" ht="15.75" customHeight="1">
      <c r="R288" s="14"/>
      <c r="X288" s="26"/>
      <c r="Y288" s="28"/>
    </row>
    <row r="289" spans="18:25" ht="15.75" customHeight="1">
      <c r="R289" s="14"/>
      <c r="X289" s="26"/>
      <c r="Y289" s="28"/>
    </row>
    <row r="290" spans="18:25" ht="15.75" customHeight="1">
      <c r="R290" s="14"/>
      <c r="X290" s="26"/>
      <c r="Y290" s="28"/>
    </row>
    <row r="291" spans="18:25" ht="15.75" customHeight="1">
      <c r="R291" s="14"/>
      <c r="X291" s="26"/>
      <c r="Y291" s="28"/>
    </row>
    <row r="292" spans="18:25" ht="15.75" customHeight="1">
      <c r="R292" s="14"/>
      <c r="X292" s="26"/>
      <c r="Y292" s="28"/>
    </row>
    <row r="293" spans="18:25" ht="15.75" customHeight="1">
      <c r="R293" s="14"/>
      <c r="X293" s="26"/>
      <c r="Y293" s="28"/>
    </row>
    <row r="294" spans="18:25" ht="15.75" customHeight="1">
      <c r="R294" s="14"/>
      <c r="X294" s="26"/>
      <c r="Y294" s="28"/>
    </row>
    <row r="295" spans="18:25" ht="15.75" customHeight="1">
      <c r="R295" s="14"/>
      <c r="X295" s="26"/>
      <c r="Y295" s="28"/>
    </row>
    <row r="296" spans="18:25" ht="15.75" customHeight="1">
      <c r="R296" s="14"/>
      <c r="X296" s="26"/>
      <c r="Y296" s="28"/>
    </row>
    <row r="297" spans="18:25" ht="15.75" customHeight="1">
      <c r="R297" s="14"/>
      <c r="X297" s="26"/>
      <c r="Y297" s="28"/>
    </row>
    <row r="298" spans="18:25" ht="15.75" customHeight="1">
      <c r="R298" s="14"/>
      <c r="X298" s="26"/>
      <c r="Y298" s="28"/>
    </row>
    <row r="299" spans="18:25" ht="15.75" customHeight="1">
      <c r="R299" s="14"/>
      <c r="X299" s="26"/>
      <c r="Y299" s="28"/>
    </row>
    <row r="300" spans="18:25" ht="15.75" customHeight="1">
      <c r="R300" s="14"/>
      <c r="X300" s="26"/>
      <c r="Y300" s="28"/>
    </row>
    <row r="301" spans="18:25" ht="15.75" customHeight="1">
      <c r="R301" s="14"/>
      <c r="X301" s="26"/>
      <c r="Y301" s="28"/>
    </row>
    <row r="302" spans="18:25" ht="15.75" customHeight="1">
      <c r="R302" s="14"/>
      <c r="X302" s="26"/>
      <c r="Y302" s="28"/>
    </row>
    <row r="303" spans="18:25" ht="15.75" customHeight="1">
      <c r="R303" s="14"/>
      <c r="X303" s="26"/>
      <c r="Y303" s="28"/>
    </row>
    <row r="304" spans="18:25" ht="15.75" customHeight="1">
      <c r="R304" s="14"/>
      <c r="X304" s="26"/>
      <c r="Y304" s="28"/>
    </row>
    <row r="305" spans="18:25" ht="15.75" customHeight="1">
      <c r="R305" s="14"/>
      <c r="X305" s="26"/>
      <c r="Y305" s="28"/>
    </row>
    <row r="306" spans="18:25" ht="15.75" customHeight="1">
      <c r="R306" s="14"/>
      <c r="X306" s="26"/>
      <c r="Y306" s="28"/>
    </row>
    <row r="307" spans="18:25" ht="15.75" customHeight="1">
      <c r="R307" s="14"/>
      <c r="X307" s="26"/>
      <c r="Y307" s="28"/>
    </row>
    <row r="308" spans="18:25" ht="15.75" customHeight="1">
      <c r="R308" s="14"/>
      <c r="X308" s="26"/>
      <c r="Y308" s="28"/>
    </row>
    <row r="309" spans="18:25" ht="15.75" customHeight="1">
      <c r="R309" s="14"/>
      <c r="X309" s="26"/>
      <c r="Y309" s="28"/>
    </row>
    <row r="310" spans="18:25" ht="15.75" customHeight="1">
      <c r="R310" s="14"/>
      <c r="X310" s="26"/>
      <c r="Y310" s="28"/>
    </row>
    <row r="311" spans="18:25" ht="15.75" customHeight="1">
      <c r="R311" s="14"/>
      <c r="X311" s="26"/>
      <c r="Y311" s="28"/>
    </row>
    <row r="312" spans="18:25" ht="15.75" customHeight="1">
      <c r="R312" s="14"/>
      <c r="X312" s="26"/>
      <c r="Y312" s="28"/>
    </row>
    <row r="313" spans="18:25" ht="15.75" customHeight="1">
      <c r="R313" s="14"/>
      <c r="X313" s="26"/>
      <c r="Y313" s="28"/>
    </row>
    <row r="314" spans="18:25" ht="15.75" customHeight="1">
      <c r="R314" s="14"/>
      <c r="X314" s="26"/>
      <c r="Y314" s="28"/>
    </row>
    <row r="315" spans="18:25" ht="15.75" customHeight="1">
      <c r="R315" s="14"/>
      <c r="X315" s="26"/>
      <c r="Y315" s="28"/>
    </row>
    <row r="316" spans="18:25" ht="15.75" customHeight="1">
      <c r="R316" s="14"/>
      <c r="X316" s="26"/>
      <c r="Y316" s="28"/>
    </row>
    <row r="317" spans="18:25" ht="15.75" customHeight="1">
      <c r="R317" s="14"/>
      <c r="X317" s="26"/>
      <c r="Y317" s="28"/>
    </row>
    <row r="318" spans="18:25" ht="15.75" customHeight="1">
      <c r="R318" s="14"/>
      <c r="X318" s="26"/>
      <c r="Y318" s="28"/>
    </row>
    <row r="319" spans="18:25" ht="15.75" customHeight="1">
      <c r="R319" s="14"/>
      <c r="X319" s="26"/>
      <c r="Y319" s="28"/>
    </row>
    <row r="320" spans="18:25" ht="15.75" customHeight="1">
      <c r="R320" s="14"/>
      <c r="X320" s="26"/>
      <c r="Y320" s="28"/>
    </row>
    <row r="321" spans="18:25" ht="15.75" customHeight="1">
      <c r="R321" s="14"/>
      <c r="X321" s="26"/>
      <c r="Y321" s="28"/>
    </row>
    <row r="322" spans="18:25" ht="15.75" customHeight="1">
      <c r="R322" s="14"/>
      <c r="X322" s="26"/>
      <c r="Y322" s="28"/>
    </row>
    <row r="323" spans="18:25" ht="15.75" customHeight="1">
      <c r="R323" s="14"/>
      <c r="X323" s="26"/>
      <c r="Y323" s="28"/>
    </row>
    <row r="324" spans="18:25" ht="15.75" customHeight="1">
      <c r="R324" s="14"/>
      <c r="X324" s="26"/>
      <c r="Y324" s="28"/>
    </row>
    <row r="325" spans="18:25" ht="15.75" customHeight="1">
      <c r="R325" s="14"/>
      <c r="X325" s="26"/>
      <c r="Y325" s="28"/>
    </row>
    <row r="326" spans="18:25" ht="15.75" customHeight="1">
      <c r="R326" s="14"/>
      <c r="X326" s="26"/>
      <c r="Y326" s="28"/>
    </row>
    <row r="327" spans="18:25" ht="15.75" customHeight="1">
      <c r="R327" s="14"/>
      <c r="X327" s="26"/>
      <c r="Y327" s="28"/>
    </row>
    <row r="328" spans="18:25" ht="15.75" customHeight="1">
      <c r="R328" s="14"/>
      <c r="X328" s="26"/>
      <c r="Y328" s="28"/>
    </row>
    <row r="329" spans="18:25" ht="15.75" customHeight="1">
      <c r="R329" s="14"/>
      <c r="X329" s="26"/>
      <c r="Y329" s="28"/>
    </row>
    <row r="330" spans="18:25" ht="15.75" customHeight="1">
      <c r="R330" s="14"/>
      <c r="X330" s="26"/>
      <c r="Y330" s="28"/>
    </row>
    <row r="331" spans="18:25" ht="15.75" customHeight="1">
      <c r="R331" s="14"/>
      <c r="X331" s="26"/>
      <c r="Y331" s="28"/>
    </row>
    <row r="332" spans="18:25" ht="15.75" customHeight="1">
      <c r="R332" s="14"/>
      <c r="X332" s="26"/>
      <c r="Y332" s="28"/>
    </row>
    <row r="333" spans="18:25" ht="15.75" customHeight="1">
      <c r="R333" s="14"/>
      <c r="X333" s="26"/>
      <c r="Y333" s="28"/>
    </row>
    <row r="334" spans="18:25" ht="15.75" customHeight="1">
      <c r="R334" s="14"/>
      <c r="X334" s="26"/>
      <c r="Y334" s="28"/>
    </row>
    <row r="335" spans="18:25" ht="15.75" customHeight="1">
      <c r="R335" s="14"/>
      <c r="X335" s="26"/>
      <c r="Y335" s="28"/>
    </row>
    <row r="336" spans="18:25" ht="15.75" customHeight="1">
      <c r="R336" s="14"/>
      <c r="X336" s="26"/>
      <c r="Y336" s="28"/>
    </row>
    <row r="337" spans="18:25" ht="15.75" customHeight="1">
      <c r="R337" s="14"/>
      <c r="X337" s="26"/>
      <c r="Y337" s="28"/>
    </row>
    <row r="338" spans="18:25" ht="15.75" customHeight="1">
      <c r="R338" s="14"/>
      <c r="X338" s="26"/>
      <c r="Y338" s="28"/>
    </row>
    <row r="339" spans="18:25" ht="15.75" customHeight="1">
      <c r="R339" s="14"/>
      <c r="X339" s="26"/>
      <c r="Y339" s="28"/>
    </row>
    <row r="340" spans="18:25" ht="15.75" customHeight="1">
      <c r="R340" s="14"/>
      <c r="X340" s="26"/>
      <c r="Y340" s="28"/>
    </row>
    <row r="341" spans="18:25" ht="15.75" customHeight="1">
      <c r="R341" s="14"/>
      <c r="X341" s="26"/>
      <c r="Y341" s="28"/>
    </row>
    <row r="342" spans="18:25" ht="15.75" customHeight="1">
      <c r="R342" s="14"/>
      <c r="X342" s="26"/>
      <c r="Y342" s="28"/>
    </row>
    <row r="343" spans="18:25" ht="15.75" customHeight="1">
      <c r="R343" s="14"/>
      <c r="X343" s="26"/>
      <c r="Y343" s="28"/>
    </row>
    <row r="344" spans="18:25" ht="15.75" customHeight="1">
      <c r="R344" s="14"/>
      <c r="X344" s="26"/>
      <c r="Y344" s="28"/>
    </row>
    <row r="345" spans="18:25" ht="15.75" customHeight="1">
      <c r="R345" s="14"/>
      <c r="X345" s="26"/>
      <c r="Y345" s="28"/>
    </row>
    <row r="346" spans="18:25" ht="15.75" customHeight="1">
      <c r="R346" s="14"/>
      <c r="X346" s="26"/>
      <c r="Y346" s="28"/>
    </row>
    <row r="347" spans="18:25" ht="15.75" customHeight="1">
      <c r="R347" s="14"/>
      <c r="X347" s="26"/>
      <c r="Y347" s="28"/>
    </row>
    <row r="348" spans="18:25" ht="15.75" customHeight="1">
      <c r="R348" s="14"/>
      <c r="X348" s="26"/>
      <c r="Y348" s="28"/>
    </row>
    <row r="349" spans="18:25" ht="15.75" customHeight="1">
      <c r="R349" s="14"/>
      <c r="X349" s="26"/>
      <c r="Y349" s="28"/>
    </row>
    <row r="350" spans="18:25" ht="15.75" customHeight="1">
      <c r="R350" s="14"/>
      <c r="X350" s="26"/>
      <c r="Y350" s="28"/>
    </row>
    <row r="351" spans="18:25" ht="15.75" customHeight="1">
      <c r="R351" s="14"/>
      <c r="X351" s="26"/>
      <c r="Y351" s="28"/>
    </row>
    <row r="352" spans="18:25" ht="15.75" customHeight="1">
      <c r="R352" s="14"/>
      <c r="X352" s="26"/>
      <c r="Y352" s="28"/>
    </row>
    <row r="353" spans="18:25" ht="15.75" customHeight="1">
      <c r="R353" s="14"/>
      <c r="X353" s="26"/>
      <c r="Y353" s="28"/>
    </row>
    <row r="354" spans="18:25" ht="15.75" customHeight="1">
      <c r="R354" s="14"/>
      <c r="X354" s="26"/>
      <c r="Y354" s="28"/>
    </row>
    <row r="355" spans="18:25" ht="15.75" customHeight="1">
      <c r="R355" s="14"/>
      <c r="X355" s="26"/>
      <c r="Y355" s="28"/>
    </row>
    <row r="356" spans="18:25" ht="15.75" customHeight="1">
      <c r="R356" s="14"/>
      <c r="X356" s="26"/>
      <c r="Y356" s="28"/>
    </row>
    <row r="357" spans="18:25" ht="15.75" customHeight="1">
      <c r="R357" s="14"/>
      <c r="X357" s="26"/>
      <c r="Y357" s="28"/>
    </row>
    <row r="358" spans="18:25" ht="15.75" customHeight="1">
      <c r="R358" s="14"/>
      <c r="X358" s="26"/>
      <c r="Y358" s="28"/>
    </row>
    <row r="359" spans="18:25" ht="15.75" customHeight="1">
      <c r="R359" s="14"/>
      <c r="X359" s="26"/>
      <c r="Y359" s="28"/>
    </row>
    <row r="360" spans="18:25" ht="15.75" customHeight="1">
      <c r="R360" s="14"/>
      <c r="X360" s="26"/>
      <c r="Y360" s="28"/>
    </row>
    <row r="361" spans="18:25" ht="15.75" customHeight="1">
      <c r="R361" s="14"/>
      <c r="X361" s="26"/>
      <c r="Y361" s="28"/>
    </row>
    <row r="362" spans="18:25" ht="15.75" customHeight="1">
      <c r="R362" s="14"/>
      <c r="X362" s="26"/>
      <c r="Y362" s="28"/>
    </row>
    <row r="363" spans="18:25" ht="15.75" customHeight="1">
      <c r="R363" s="14"/>
      <c r="X363" s="26"/>
      <c r="Y363" s="28"/>
    </row>
    <row r="364" spans="18:25" ht="15.75" customHeight="1">
      <c r="R364" s="14"/>
      <c r="X364" s="26"/>
      <c r="Y364" s="28"/>
    </row>
    <row r="365" spans="18:25" ht="15.75" customHeight="1">
      <c r="R365" s="14"/>
      <c r="X365" s="26"/>
      <c r="Y365" s="28"/>
    </row>
    <row r="366" spans="18:25" ht="15.75" customHeight="1">
      <c r="R366" s="14"/>
      <c r="X366" s="26"/>
      <c r="Y366" s="28"/>
    </row>
    <row r="367" spans="18:25" ht="15.75" customHeight="1">
      <c r="R367" s="14"/>
      <c r="X367" s="26"/>
      <c r="Y367" s="28"/>
    </row>
    <row r="368" spans="18:25" ht="15.75" customHeight="1">
      <c r="R368" s="14"/>
      <c r="X368" s="26"/>
      <c r="Y368" s="28"/>
    </row>
    <row r="369" spans="18:25" ht="15.75" customHeight="1">
      <c r="R369" s="14"/>
      <c r="X369" s="26"/>
      <c r="Y369" s="28"/>
    </row>
    <row r="370" spans="18:25" ht="15.75" customHeight="1">
      <c r="R370" s="14"/>
      <c r="X370" s="26"/>
      <c r="Y370" s="28"/>
    </row>
    <row r="371" spans="18:25" ht="15.75" customHeight="1">
      <c r="R371" s="14"/>
      <c r="X371" s="26"/>
      <c r="Y371" s="28"/>
    </row>
    <row r="372" spans="18:25" ht="15.75" customHeight="1">
      <c r="R372" s="14"/>
      <c r="X372" s="26"/>
      <c r="Y372" s="28"/>
    </row>
    <row r="373" spans="18:25" ht="15.75" customHeight="1">
      <c r="R373" s="14"/>
      <c r="X373" s="26"/>
      <c r="Y373" s="28"/>
    </row>
    <row r="374" spans="18:25" ht="15.75" customHeight="1">
      <c r="R374" s="14"/>
      <c r="X374" s="26"/>
      <c r="Y374" s="28"/>
    </row>
    <row r="375" spans="18:25" ht="15.75" customHeight="1">
      <c r="R375" s="14"/>
      <c r="X375" s="26"/>
      <c r="Y375" s="28"/>
    </row>
    <row r="376" spans="18:25" ht="15.75" customHeight="1">
      <c r="R376" s="14"/>
      <c r="X376" s="26"/>
      <c r="Y376" s="28"/>
    </row>
    <row r="377" spans="18:25" ht="15.75" customHeight="1">
      <c r="R377" s="14"/>
      <c r="X377" s="26"/>
      <c r="Y377" s="28"/>
    </row>
    <row r="378" spans="18:25" ht="15.75" customHeight="1">
      <c r="R378" s="14"/>
      <c r="X378" s="26"/>
      <c r="Y378" s="28"/>
    </row>
    <row r="379" spans="18:25" ht="15.75" customHeight="1">
      <c r="R379" s="14"/>
      <c r="X379" s="26"/>
      <c r="Y379" s="28"/>
    </row>
    <row r="380" spans="18:25" ht="15.75" customHeight="1">
      <c r="R380" s="14"/>
      <c r="X380" s="26"/>
      <c r="Y380" s="28"/>
    </row>
    <row r="381" spans="18:25" ht="15.75" customHeight="1">
      <c r="R381" s="14"/>
      <c r="X381" s="26"/>
      <c r="Y381" s="28"/>
    </row>
    <row r="382" spans="18:25" ht="15.75" customHeight="1">
      <c r="R382" s="14"/>
      <c r="X382" s="26"/>
      <c r="Y382" s="28"/>
    </row>
    <row r="383" spans="18:25" ht="15.75" customHeight="1">
      <c r="R383" s="14"/>
      <c r="X383" s="26"/>
      <c r="Y383" s="28"/>
    </row>
    <row r="384" spans="18:25" ht="15.75" customHeight="1">
      <c r="R384" s="14"/>
      <c r="X384" s="26"/>
      <c r="Y384" s="28"/>
    </row>
    <row r="385" spans="18:25" ht="15.75" customHeight="1">
      <c r="R385" s="14"/>
      <c r="X385" s="26"/>
      <c r="Y385" s="28"/>
    </row>
    <row r="386" spans="18:25" ht="15.75" customHeight="1">
      <c r="R386" s="14"/>
      <c r="X386" s="26"/>
      <c r="Y386" s="28"/>
    </row>
    <row r="387" spans="18:25" ht="15.75" customHeight="1">
      <c r="R387" s="14"/>
      <c r="X387" s="26"/>
      <c r="Y387" s="28"/>
    </row>
    <row r="388" spans="18:25" ht="15.75" customHeight="1">
      <c r="R388" s="14"/>
      <c r="X388" s="26"/>
      <c r="Y388" s="28"/>
    </row>
    <row r="389" spans="18:25" ht="15.75" customHeight="1">
      <c r="R389" s="14"/>
      <c r="X389" s="26"/>
      <c r="Y389" s="28"/>
    </row>
    <row r="390" spans="18:25" ht="15.75" customHeight="1">
      <c r="R390" s="14"/>
      <c r="X390" s="26"/>
      <c r="Y390" s="28"/>
    </row>
    <row r="391" spans="18:25" ht="15.75" customHeight="1">
      <c r="R391" s="14"/>
      <c r="X391" s="26"/>
      <c r="Y391" s="28"/>
    </row>
    <row r="392" spans="18:25" ht="15.75" customHeight="1">
      <c r="R392" s="14"/>
      <c r="X392" s="26"/>
      <c r="Y392" s="28"/>
    </row>
    <row r="393" spans="18:25" ht="15.75" customHeight="1">
      <c r="R393" s="14"/>
      <c r="X393" s="26"/>
      <c r="Y393" s="28"/>
    </row>
    <row r="394" spans="18:25" ht="15.75" customHeight="1">
      <c r="R394" s="14"/>
      <c r="X394" s="26"/>
      <c r="Y394" s="28"/>
    </row>
    <row r="395" spans="18:25" ht="15.75" customHeight="1">
      <c r="R395" s="14"/>
      <c r="X395" s="26"/>
      <c r="Y395" s="28"/>
    </row>
    <row r="396" spans="18:25" ht="15.75" customHeight="1">
      <c r="R396" s="14"/>
      <c r="X396" s="26"/>
      <c r="Y396" s="28"/>
    </row>
    <row r="397" spans="18:25" ht="15.75" customHeight="1">
      <c r="R397" s="14"/>
      <c r="X397" s="26"/>
      <c r="Y397" s="28"/>
    </row>
    <row r="398" spans="18:25" ht="15.75" customHeight="1">
      <c r="R398" s="14"/>
      <c r="X398" s="26"/>
      <c r="Y398" s="28"/>
    </row>
    <row r="399" spans="18:25" ht="15.75" customHeight="1">
      <c r="R399" s="14"/>
      <c r="X399" s="26"/>
      <c r="Y399" s="28"/>
    </row>
    <row r="400" spans="18:25" ht="15.75" customHeight="1">
      <c r="R400" s="14"/>
      <c r="X400" s="26"/>
      <c r="Y400" s="28"/>
    </row>
    <row r="401" spans="18:25" ht="15.75" customHeight="1">
      <c r="R401" s="14"/>
      <c r="X401" s="26"/>
      <c r="Y401" s="28"/>
    </row>
    <row r="402" spans="18:25" ht="15.75" customHeight="1">
      <c r="R402" s="14"/>
      <c r="X402" s="26"/>
      <c r="Y402" s="28"/>
    </row>
    <row r="403" spans="18:25" ht="15.75" customHeight="1">
      <c r="R403" s="14"/>
      <c r="X403" s="26"/>
      <c r="Y403" s="28"/>
    </row>
    <row r="404" spans="18:25" ht="15.75" customHeight="1">
      <c r="R404" s="14"/>
      <c r="X404" s="26"/>
      <c r="Y404" s="28"/>
    </row>
    <row r="405" spans="18:25" ht="15.75" customHeight="1">
      <c r="R405" s="14"/>
      <c r="X405" s="26"/>
      <c r="Y405" s="28"/>
    </row>
    <row r="406" spans="18:25" ht="15.75" customHeight="1">
      <c r="R406" s="14"/>
      <c r="X406" s="26"/>
      <c r="Y406" s="28"/>
    </row>
    <row r="407" spans="18:25" ht="15.75" customHeight="1">
      <c r="R407" s="14"/>
      <c r="X407" s="26"/>
      <c r="Y407" s="28"/>
    </row>
    <row r="408" spans="18:25" ht="15.75" customHeight="1">
      <c r="R408" s="14"/>
      <c r="X408" s="26"/>
      <c r="Y408" s="28"/>
    </row>
    <row r="409" spans="18:25" ht="15.75" customHeight="1">
      <c r="R409" s="14"/>
      <c r="X409" s="26"/>
      <c r="Y409" s="28"/>
    </row>
    <row r="410" spans="18:25" ht="15.75" customHeight="1">
      <c r="R410" s="14"/>
      <c r="X410" s="26"/>
      <c r="Y410" s="28"/>
    </row>
    <row r="411" spans="18:25" ht="15.75" customHeight="1">
      <c r="R411" s="14"/>
      <c r="X411" s="26"/>
      <c r="Y411" s="28"/>
    </row>
    <row r="412" spans="18:25" ht="15.75" customHeight="1">
      <c r="R412" s="14"/>
      <c r="X412" s="26"/>
      <c r="Y412" s="28"/>
    </row>
    <row r="413" spans="18:25" ht="15.75" customHeight="1">
      <c r="R413" s="14"/>
      <c r="X413" s="26"/>
      <c r="Y413" s="28"/>
    </row>
    <row r="414" spans="18:25" ht="15.75" customHeight="1">
      <c r="R414" s="14"/>
      <c r="X414" s="26"/>
      <c r="Y414" s="28"/>
    </row>
    <row r="415" spans="18:25" ht="15.75" customHeight="1">
      <c r="R415" s="14"/>
      <c r="X415" s="26"/>
      <c r="Y415" s="28"/>
    </row>
    <row r="416" spans="18:25" ht="15.75" customHeight="1">
      <c r="R416" s="14"/>
      <c r="X416" s="26"/>
      <c r="Y416" s="28"/>
    </row>
    <row r="417" spans="18:25" ht="15.75" customHeight="1">
      <c r="R417" s="14"/>
      <c r="X417" s="26"/>
      <c r="Y417" s="28"/>
    </row>
    <row r="418" spans="18:25" ht="15.75" customHeight="1">
      <c r="R418" s="14"/>
      <c r="X418" s="26"/>
      <c r="Y418" s="28"/>
    </row>
    <row r="419" spans="18:25" ht="15.75" customHeight="1">
      <c r="R419" s="14"/>
      <c r="X419" s="26"/>
      <c r="Y419" s="28"/>
    </row>
    <row r="420" spans="18:25" ht="15.75" customHeight="1">
      <c r="R420" s="14"/>
      <c r="X420" s="26"/>
      <c r="Y420" s="28"/>
    </row>
    <row r="421" spans="18:25" ht="15.75" customHeight="1">
      <c r="R421" s="14"/>
      <c r="X421" s="26"/>
      <c r="Y421" s="28"/>
    </row>
    <row r="422" spans="18:25" ht="15.75" customHeight="1">
      <c r="R422" s="14"/>
      <c r="X422" s="26"/>
      <c r="Y422" s="28"/>
    </row>
    <row r="423" spans="18:25" ht="15.75" customHeight="1">
      <c r="R423" s="14"/>
      <c r="X423" s="26"/>
      <c r="Y423" s="28"/>
    </row>
    <row r="424" spans="18:25" ht="15.75" customHeight="1">
      <c r="R424" s="14"/>
      <c r="X424" s="26"/>
      <c r="Y424" s="28"/>
    </row>
    <row r="425" spans="18:25" ht="15.75" customHeight="1">
      <c r="R425" s="14"/>
      <c r="X425" s="26"/>
      <c r="Y425" s="28"/>
    </row>
    <row r="426" spans="18:25" ht="15.75" customHeight="1">
      <c r="R426" s="14"/>
      <c r="X426" s="26"/>
      <c r="Y426" s="28"/>
    </row>
    <row r="427" spans="18:25" ht="15.75" customHeight="1">
      <c r="R427" s="14"/>
      <c r="X427" s="26"/>
      <c r="Y427" s="28"/>
    </row>
    <row r="428" spans="18:25" ht="15.75" customHeight="1">
      <c r="R428" s="14"/>
      <c r="X428" s="26"/>
      <c r="Y428" s="28"/>
    </row>
    <row r="429" spans="18:25" ht="15.75" customHeight="1">
      <c r="R429" s="14"/>
      <c r="X429" s="26"/>
      <c r="Y429" s="28"/>
    </row>
    <row r="430" spans="18:25" ht="15.75" customHeight="1">
      <c r="R430" s="14"/>
      <c r="X430" s="26"/>
      <c r="Y430" s="28"/>
    </row>
    <row r="431" spans="18:25" ht="15.75" customHeight="1">
      <c r="R431" s="14"/>
      <c r="X431" s="26"/>
      <c r="Y431" s="28"/>
    </row>
    <row r="432" spans="18:25" ht="15.75" customHeight="1">
      <c r="R432" s="14"/>
      <c r="X432" s="26"/>
      <c r="Y432" s="28"/>
    </row>
    <row r="433" spans="18:25" ht="15.75" customHeight="1">
      <c r="R433" s="14"/>
      <c r="X433" s="26"/>
      <c r="Y433" s="28"/>
    </row>
    <row r="434" spans="18:25" ht="15.75" customHeight="1">
      <c r="R434" s="14"/>
      <c r="X434" s="26"/>
      <c r="Y434" s="28"/>
    </row>
    <row r="435" spans="18:25" ht="15.75" customHeight="1">
      <c r="R435" s="14"/>
      <c r="X435" s="26"/>
      <c r="Y435" s="28"/>
    </row>
    <row r="436" spans="18:25" ht="15.75" customHeight="1">
      <c r="R436" s="14"/>
      <c r="X436" s="26"/>
      <c r="Y436" s="28"/>
    </row>
    <row r="437" spans="18:25" ht="15.75" customHeight="1">
      <c r="R437" s="14"/>
      <c r="X437" s="26"/>
      <c r="Y437" s="28"/>
    </row>
    <row r="438" spans="18:25" ht="15.75" customHeight="1">
      <c r="R438" s="14"/>
      <c r="X438" s="26"/>
      <c r="Y438" s="28"/>
    </row>
    <row r="439" spans="18:25" ht="15.75" customHeight="1">
      <c r="R439" s="14"/>
      <c r="X439" s="26"/>
      <c r="Y439" s="28"/>
    </row>
    <row r="440" spans="18:25" ht="15.75" customHeight="1">
      <c r="R440" s="14"/>
      <c r="X440" s="26"/>
      <c r="Y440" s="28"/>
    </row>
    <row r="441" spans="18:25" ht="15.75" customHeight="1">
      <c r="R441" s="14"/>
      <c r="X441" s="26"/>
      <c r="Y441" s="28"/>
    </row>
    <row r="442" spans="18:25" ht="15.75" customHeight="1">
      <c r="R442" s="14"/>
      <c r="X442" s="26"/>
      <c r="Y442" s="28"/>
    </row>
    <row r="443" spans="18:25" ht="15.75" customHeight="1">
      <c r="R443" s="14"/>
      <c r="X443" s="26"/>
      <c r="Y443" s="28"/>
    </row>
    <row r="444" spans="18:25" ht="15.75" customHeight="1">
      <c r="R444" s="14"/>
      <c r="X444" s="26"/>
      <c r="Y444" s="28"/>
    </row>
    <row r="445" spans="18:25" ht="15.75" customHeight="1">
      <c r="R445" s="14"/>
      <c r="X445" s="26"/>
      <c r="Y445" s="28"/>
    </row>
    <row r="446" spans="18:25" ht="15.75" customHeight="1">
      <c r="R446" s="14"/>
      <c r="X446" s="26"/>
      <c r="Y446" s="28"/>
    </row>
    <row r="447" spans="18:25" ht="15.75" customHeight="1">
      <c r="R447" s="14"/>
      <c r="X447" s="26"/>
      <c r="Y447" s="28"/>
    </row>
    <row r="448" spans="18:25" ht="15.75" customHeight="1">
      <c r="R448" s="14"/>
      <c r="X448" s="26"/>
      <c r="Y448" s="28"/>
    </row>
    <row r="449" spans="18:25" ht="15.75" customHeight="1">
      <c r="R449" s="14"/>
      <c r="X449" s="26"/>
      <c r="Y449" s="28"/>
    </row>
    <row r="450" spans="18:25" ht="15.75" customHeight="1">
      <c r="R450" s="14"/>
      <c r="X450" s="26"/>
      <c r="Y450" s="28"/>
    </row>
    <row r="451" spans="18:25" ht="15.75" customHeight="1">
      <c r="R451" s="14"/>
      <c r="X451" s="26"/>
      <c r="Y451" s="28"/>
    </row>
    <row r="452" spans="18:25" ht="15.75" customHeight="1">
      <c r="R452" s="14"/>
      <c r="X452" s="26"/>
      <c r="Y452" s="28"/>
    </row>
    <row r="453" spans="18:25" ht="15.75" customHeight="1">
      <c r="R453" s="14"/>
      <c r="X453" s="26"/>
      <c r="Y453" s="28"/>
    </row>
    <row r="454" spans="18:25" ht="15.75" customHeight="1">
      <c r="R454" s="14"/>
      <c r="X454" s="26"/>
      <c r="Y454" s="28"/>
    </row>
    <row r="455" spans="18:25" ht="15.75" customHeight="1">
      <c r="R455" s="14"/>
      <c r="X455" s="26"/>
      <c r="Y455" s="28"/>
    </row>
    <row r="456" spans="18:25" ht="15.75" customHeight="1">
      <c r="R456" s="14"/>
      <c r="X456" s="26"/>
      <c r="Y456" s="28"/>
    </row>
    <row r="457" spans="18:25" ht="15.75" customHeight="1">
      <c r="R457" s="14"/>
      <c r="X457" s="26"/>
      <c r="Y457" s="28"/>
    </row>
    <row r="458" spans="18:25" ht="15.75" customHeight="1">
      <c r="R458" s="14"/>
      <c r="X458" s="26"/>
      <c r="Y458" s="28"/>
    </row>
    <row r="459" spans="18:25" ht="15.75" customHeight="1">
      <c r="R459" s="14"/>
      <c r="X459" s="26"/>
      <c r="Y459" s="28"/>
    </row>
    <row r="460" spans="18:25" ht="15.75" customHeight="1">
      <c r="R460" s="14"/>
      <c r="X460" s="26"/>
      <c r="Y460" s="28"/>
    </row>
    <row r="461" spans="18:25" ht="15.75" customHeight="1">
      <c r="R461" s="14"/>
      <c r="X461" s="26"/>
      <c r="Y461" s="28"/>
    </row>
    <row r="462" spans="18:25" ht="15.75" customHeight="1">
      <c r="R462" s="14"/>
      <c r="X462" s="26"/>
      <c r="Y462" s="28"/>
    </row>
    <row r="463" spans="18:25" ht="15.75" customHeight="1">
      <c r="R463" s="14"/>
      <c r="X463" s="26"/>
      <c r="Y463" s="28"/>
    </row>
    <row r="464" spans="18:25" ht="15.75" customHeight="1">
      <c r="R464" s="14"/>
      <c r="X464" s="26"/>
      <c r="Y464" s="28"/>
    </row>
    <row r="465" spans="18:25" ht="15.75" customHeight="1">
      <c r="R465" s="14"/>
      <c r="X465" s="26"/>
      <c r="Y465" s="28"/>
    </row>
    <row r="466" spans="18:25" ht="15.75" customHeight="1">
      <c r="R466" s="14"/>
      <c r="X466" s="26"/>
      <c r="Y466" s="28"/>
    </row>
    <row r="467" spans="18:25" ht="15.75" customHeight="1">
      <c r="R467" s="14"/>
      <c r="X467" s="26"/>
      <c r="Y467" s="28"/>
    </row>
    <row r="468" spans="18:25" ht="15.75" customHeight="1">
      <c r="R468" s="14"/>
      <c r="X468" s="26"/>
      <c r="Y468" s="28"/>
    </row>
    <row r="469" spans="18:25" ht="15.75" customHeight="1">
      <c r="R469" s="14"/>
      <c r="X469" s="26"/>
      <c r="Y469" s="28"/>
    </row>
    <row r="470" spans="18:25" ht="15.75" customHeight="1">
      <c r="R470" s="14"/>
      <c r="X470" s="26"/>
      <c r="Y470" s="28"/>
    </row>
    <row r="471" spans="18:25" ht="15.75" customHeight="1">
      <c r="R471" s="14"/>
      <c r="X471" s="26"/>
      <c r="Y471" s="28"/>
    </row>
    <row r="472" spans="18:25" ht="15.75" customHeight="1">
      <c r="R472" s="14"/>
      <c r="X472" s="26"/>
      <c r="Y472" s="28"/>
    </row>
    <row r="473" spans="18:25" ht="15.75" customHeight="1">
      <c r="R473" s="14"/>
      <c r="X473" s="26"/>
      <c r="Y473" s="28"/>
    </row>
    <row r="474" spans="18:25" ht="15.75" customHeight="1">
      <c r="R474" s="14"/>
      <c r="X474" s="26"/>
      <c r="Y474" s="28"/>
    </row>
    <row r="475" spans="18:25" ht="15.75" customHeight="1">
      <c r="R475" s="14"/>
      <c r="X475" s="26"/>
      <c r="Y475" s="28"/>
    </row>
    <row r="476" spans="18:25" ht="15.75" customHeight="1">
      <c r="R476" s="14"/>
      <c r="X476" s="26"/>
      <c r="Y476" s="28"/>
    </row>
    <row r="477" spans="18:25" ht="15.75" customHeight="1">
      <c r="R477" s="14"/>
      <c r="X477" s="26"/>
      <c r="Y477" s="28"/>
    </row>
    <row r="478" spans="18:25" ht="15.75" customHeight="1">
      <c r="R478" s="14"/>
      <c r="X478" s="26"/>
      <c r="Y478" s="28"/>
    </row>
    <row r="479" spans="18:25" ht="15.75" customHeight="1">
      <c r="R479" s="14"/>
      <c r="X479" s="26"/>
      <c r="Y479" s="28"/>
    </row>
    <row r="480" spans="18:25" ht="15.75" customHeight="1">
      <c r="R480" s="14"/>
      <c r="X480" s="26"/>
      <c r="Y480" s="28"/>
    </row>
    <row r="481" spans="18:25" ht="15.75" customHeight="1">
      <c r="R481" s="14"/>
      <c r="X481" s="26"/>
      <c r="Y481" s="28"/>
    </row>
    <row r="482" spans="18:25" ht="15.75" customHeight="1">
      <c r="R482" s="14"/>
      <c r="X482" s="26"/>
      <c r="Y482" s="28"/>
    </row>
    <row r="483" spans="18:25" ht="15.75" customHeight="1">
      <c r="R483" s="14"/>
      <c r="X483" s="26"/>
      <c r="Y483" s="28"/>
    </row>
    <row r="484" spans="18:25" ht="15.75" customHeight="1">
      <c r="R484" s="14"/>
      <c r="X484" s="26"/>
      <c r="Y484" s="28"/>
    </row>
    <row r="485" spans="18:25" ht="15.75" customHeight="1">
      <c r="R485" s="14"/>
      <c r="X485" s="26"/>
      <c r="Y485" s="28"/>
    </row>
    <row r="486" spans="18:25" ht="15.75" customHeight="1">
      <c r="R486" s="14"/>
      <c r="X486" s="26"/>
      <c r="Y486" s="28"/>
    </row>
    <row r="487" spans="18:25" ht="15.75" customHeight="1">
      <c r="R487" s="14"/>
      <c r="X487" s="26"/>
      <c r="Y487" s="28"/>
    </row>
    <row r="488" spans="18:25" ht="15.75" customHeight="1">
      <c r="R488" s="14"/>
      <c r="X488" s="26"/>
      <c r="Y488" s="28"/>
    </row>
    <row r="489" spans="18:25" ht="15.75" customHeight="1">
      <c r="R489" s="14"/>
      <c r="X489" s="26"/>
      <c r="Y489" s="28"/>
    </row>
    <row r="490" spans="18:25" ht="15.75" customHeight="1">
      <c r="R490" s="14"/>
      <c r="X490" s="26"/>
      <c r="Y490" s="28"/>
    </row>
    <row r="491" spans="18:25" ht="15.75" customHeight="1">
      <c r="R491" s="14"/>
      <c r="X491" s="26"/>
      <c r="Y491" s="28"/>
    </row>
    <row r="492" spans="18:25" ht="15.75" customHeight="1">
      <c r="R492" s="14"/>
      <c r="X492" s="26"/>
      <c r="Y492" s="28"/>
    </row>
    <row r="493" spans="18:25" ht="15.75" customHeight="1">
      <c r="R493" s="14"/>
      <c r="X493" s="26"/>
      <c r="Y493" s="28"/>
    </row>
    <row r="494" spans="18:25" ht="15.75" customHeight="1">
      <c r="R494" s="14"/>
      <c r="X494" s="26"/>
      <c r="Y494" s="28"/>
    </row>
    <row r="495" spans="18:25" ht="15.75" customHeight="1">
      <c r="R495" s="14"/>
      <c r="X495" s="26"/>
      <c r="Y495" s="28"/>
    </row>
    <row r="496" spans="18:25" ht="15.75" customHeight="1">
      <c r="R496" s="14"/>
      <c r="X496" s="26"/>
      <c r="Y496" s="28"/>
    </row>
    <row r="497" spans="18:25" ht="15.75" customHeight="1">
      <c r="R497" s="14"/>
      <c r="X497" s="26"/>
      <c r="Y497" s="28"/>
    </row>
    <row r="498" spans="18:25" ht="15.75" customHeight="1">
      <c r="R498" s="14"/>
      <c r="X498" s="26"/>
      <c r="Y498" s="28"/>
    </row>
    <row r="499" spans="18:25" ht="15.75" customHeight="1">
      <c r="R499" s="14"/>
      <c r="X499" s="26"/>
      <c r="Y499" s="28"/>
    </row>
    <row r="500" spans="18:25" ht="15.75" customHeight="1">
      <c r="R500" s="14"/>
      <c r="X500" s="26"/>
      <c r="Y500" s="28"/>
    </row>
    <row r="501" spans="18:25" ht="15.75" customHeight="1">
      <c r="R501" s="14"/>
      <c r="X501" s="26"/>
      <c r="Y501" s="28"/>
    </row>
    <row r="502" spans="18:25" ht="15.75" customHeight="1">
      <c r="R502" s="14"/>
      <c r="X502" s="26"/>
      <c r="Y502" s="28"/>
    </row>
    <row r="503" spans="18:25" ht="15.75" customHeight="1">
      <c r="R503" s="14"/>
      <c r="X503" s="26"/>
      <c r="Y503" s="28"/>
    </row>
    <row r="504" spans="18:25" ht="15.75" customHeight="1">
      <c r="R504" s="14"/>
      <c r="X504" s="26"/>
      <c r="Y504" s="28"/>
    </row>
    <row r="505" spans="18:25" ht="15.75" customHeight="1">
      <c r="R505" s="14"/>
      <c r="X505" s="26"/>
      <c r="Y505" s="28"/>
    </row>
    <row r="506" spans="18:25" ht="15.75" customHeight="1">
      <c r="R506" s="14"/>
      <c r="X506" s="26"/>
      <c r="Y506" s="28"/>
    </row>
    <row r="507" spans="18:25" ht="15.75" customHeight="1">
      <c r="R507" s="14"/>
      <c r="X507" s="26"/>
      <c r="Y507" s="28"/>
    </row>
    <row r="508" spans="18:25" ht="15.75" customHeight="1">
      <c r="R508" s="14"/>
      <c r="X508" s="26"/>
      <c r="Y508" s="28"/>
    </row>
    <row r="509" spans="18:25" ht="15.75" customHeight="1">
      <c r="R509" s="14"/>
      <c r="X509" s="26"/>
      <c r="Y509" s="28"/>
    </row>
    <row r="510" spans="18:25" ht="15.75" customHeight="1">
      <c r="R510" s="14"/>
      <c r="X510" s="26"/>
      <c r="Y510" s="28"/>
    </row>
    <row r="511" spans="18:25" ht="15.75" customHeight="1">
      <c r="R511" s="14"/>
      <c r="X511" s="26"/>
      <c r="Y511" s="28"/>
    </row>
    <row r="512" spans="18:25" ht="15.75" customHeight="1">
      <c r="R512" s="14"/>
      <c r="X512" s="26"/>
      <c r="Y512" s="28"/>
    </row>
    <row r="513" spans="18:25" ht="15.75" customHeight="1">
      <c r="R513" s="14"/>
      <c r="X513" s="26"/>
      <c r="Y513" s="28"/>
    </row>
    <row r="514" spans="18:25" ht="15.75" customHeight="1">
      <c r="R514" s="14"/>
      <c r="X514" s="26"/>
      <c r="Y514" s="28"/>
    </row>
    <row r="515" spans="18:25" ht="15.75" customHeight="1">
      <c r="R515" s="14"/>
      <c r="X515" s="26"/>
      <c r="Y515" s="28"/>
    </row>
    <row r="516" spans="18:25" ht="15.75" customHeight="1">
      <c r="R516" s="14"/>
      <c r="X516" s="26"/>
      <c r="Y516" s="28"/>
    </row>
    <row r="517" spans="18:25" ht="15.75" customHeight="1">
      <c r="R517" s="14"/>
      <c r="X517" s="26"/>
      <c r="Y517" s="28"/>
    </row>
    <row r="518" spans="18:25" ht="15.75" customHeight="1">
      <c r="R518" s="14"/>
      <c r="X518" s="26"/>
      <c r="Y518" s="28"/>
    </row>
    <row r="519" spans="18:25" ht="15.75" customHeight="1">
      <c r="R519" s="14"/>
      <c r="X519" s="26"/>
      <c r="Y519" s="28"/>
    </row>
    <row r="520" spans="18:25" ht="15.75" customHeight="1">
      <c r="R520" s="14"/>
      <c r="X520" s="26"/>
      <c r="Y520" s="28"/>
    </row>
    <row r="521" spans="18:25" ht="15.75" customHeight="1">
      <c r="R521" s="14"/>
      <c r="X521" s="26"/>
      <c r="Y521" s="28"/>
    </row>
    <row r="522" spans="18:25" ht="15.75" customHeight="1">
      <c r="R522" s="14"/>
      <c r="X522" s="26"/>
      <c r="Y522" s="28"/>
    </row>
    <row r="523" spans="18:25" ht="15.75" customHeight="1">
      <c r="R523" s="14"/>
      <c r="X523" s="26"/>
      <c r="Y523" s="28"/>
    </row>
    <row r="524" spans="18:25" ht="15.75" customHeight="1">
      <c r="R524" s="14"/>
      <c r="X524" s="26"/>
      <c r="Y524" s="28"/>
    </row>
    <row r="525" spans="18:25" ht="15.75" customHeight="1">
      <c r="R525" s="14"/>
      <c r="X525" s="26"/>
      <c r="Y525" s="28"/>
    </row>
    <row r="526" spans="18:25" ht="15.75" customHeight="1">
      <c r="R526" s="14"/>
      <c r="X526" s="26"/>
      <c r="Y526" s="28"/>
    </row>
    <row r="527" spans="18:25" ht="15.75" customHeight="1">
      <c r="R527" s="14"/>
      <c r="X527" s="26"/>
      <c r="Y527" s="28"/>
    </row>
    <row r="528" spans="18:25" ht="15.75" customHeight="1">
      <c r="R528" s="14"/>
      <c r="X528" s="26"/>
      <c r="Y528" s="28"/>
    </row>
    <row r="529" spans="18:25" ht="15.75" customHeight="1">
      <c r="R529" s="14"/>
      <c r="X529" s="26"/>
      <c r="Y529" s="28"/>
    </row>
    <row r="530" spans="18:25" ht="15.75" customHeight="1">
      <c r="R530" s="14"/>
      <c r="X530" s="26"/>
      <c r="Y530" s="28"/>
    </row>
    <row r="531" spans="18:25" ht="15.75" customHeight="1">
      <c r="R531" s="14"/>
      <c r="X531" s="26"/>
      <c r="Y531" s="28"/>
    </row>
    <row r="532" spans="18:25" ht="15.75" customHeight="1">
      <c r="R532" s="14"/>
      <c r="X532" s="26"/>
      <c r="Y532" s="28"/>
    </row>
    <row r="533" spans="18:25" ht="15.75" customHeight="1">
      <c r="R533" s="14"/>
      <c r="X533" s="26"/>
      <c r="Y533" s="28"/>
    </row>
    <row r="534" spans="18:25" ht="15.75" customHeight="1">
      <c r="R534" s="14"/>
      <c r="X534" s="26"/>
      <c r="Y534" s="28"/>
    </row>
    <row r="535" spans="18:25" ht="15.75" customHeight="1">
      <c r="R535" s="14"/>
      <c r="X535" s="26"/>
      <c r="Y535" s="28"/>
    </row>
    <row r="536" spans="18:25" ht="15.75" customHeight="1">
      <c r="R536" s="14"/>
      <c r="X536" s="26"/>
      <c r="Y536" s="28"/>
    </row>
    <row r="537" spans="18:25" ht="15.75" customHeight="1">
      <c r="R537" s="14"/>
      <c r="X537" s="26"/>
      <c r="Y537" s="28"/>
    </row>
    <row r="538" spans="18:25" ht="15.75" customHeight="1">
      <c r="R538" s="14"/>
      <c r="X538" s="26"/>
      <c r="Y538" s="28"/>
    </row>
    <row r="539" spans="18:25" ht="15.75" customHeight="1">
      <c r="R539" s="14"/>
      <c r="X539" s="26"/>
      <c r="Y539" s="28"/>
    </row>
    <row r="540" spans="18:25" ht="15.75" customHeight="1">
      <c r="R540" s="14"/>
      <c r="X540" s="26"/>
      <c r="Y540" s="28"/>
    </row>
    <row r="541" spans="18:25" ht="15.75" customHeight="1">
      <c r="R541" s="14"/>
      <c r="X541" s="26"/>
      <c r="Y541" s="28"/>
    </row>
    <row r="542" spans="18:25" ht="15.75" customHeight="1">
      <c r="R542" s="14"/>
      <c r="X542" s="26"/>
      <c r="Y542" s="28"/>
    </row>
    <row r="543" spans="18:25" ht="15.75" customHeight="1">
      <c r="R543" s="14"/>
      <c r="X543" s="26"/>
      <c r="Y543" s="28"/>
    </row>
    <row r="544" spans="18:25" ht="15.75" customHeight="1">
      <c r="R544" s="14"/>
      <c r="X544" s="26"/>
      <c r="Y544" s="28"/>
    </row>
    <row r="545" spans="18:25" ht="15.75" customHeight="1">
      <c r="R545" s="14"/>
      <c r="X545" s="26"/>
      <c r="Y545" s="28"/>
    </row>
    <row r="546" spans="18:25" ht="15.75" customHeight="1">
      <c r="R546" s="14"/>
      <c r="X546" s="26"/>
      <c r="Y546" s="28"/>
    </row>
    <row r="547" spans="18:25" ht="15.75" customHeight="1">
      <c r="R547" s="14"/>
      <c r="X547" s="26"/>
      <c r="Y547" s="28"/>
    </row>
    <row r="548" spans="18:25" ht="15.75" customHeight="1">
      <c r="R548" s="14"/>
      <c r="X548" s="26"/>
      <c r="Y548" s="28"/>
    </row>
    <row r="549" spans="18:25" ht="15.75" customHeight="1">
      <c r="R549" s="14"/>
      <c r="X549" s="26"/>
      <c r="Y549" s="28"/>
    </row>
    <row r="550" spans="18:25" ht="15.75" customHeight="1">
      <c r="R550" s="14"/>
      <c r="X550" s="26"/>
      <c r="Y550" s="28"/>
    </row>
    <row r="551" spans="18:25" ht="15.75" customHeight="1">
      <c r="R551" s="14"/>
      <c r="X551" s="26"/>
      <c r="Y551" s="28"/>
    </row>
    <row r="552" spans="18:25" ht="15.75" customHeight="1">
      <c r="R552" s="14"/>
      <c r="X552" s="26"/>
      <c r="Y552" s="28"/>
    </row>
    <row r="553" spans="18:25" ht="15.75" customHeight="1">
      <c r="R553" s="14"/>
      <c r="X553" s="26"/>
      <c r="Y553" s="28"/>
    </row>
    <row r="554" spans="18:25" ht="15.75" customHeight="1">
      <c r="R554" s="14"/>
      <c r="X554" s="26"/>
      <c r="Y554" s="28"/>
    </row>
    <row r="555" spans="18:25" ht="15.75" customHeight="1">
      <c r="R555" s="14"/>
      <c r="X555" s="26"/>
      <c r="Y555" s="28"/>
    </row>
    <row r="556" spans="18:25" ht="15.75" customHeight="1">
      <c r="R556" s="14"/>
      <c r="X556" s="26"/>
      <c r="Y556" s="28"/>
    </row>
    <row r="557" spans="18:25" ht="15.75" customHeight="1">
      <c r="R557" s="14"/>
      <c r="X557" s="26"/>
      <c r="Y557" s="28"/>
    </row>
    <row r="558" spans="18:25" ht="15.75" customHeight="1">
      <c r="R558" s="14"/>
      <c r="X558" s="26"/>
      <c r="Y558" s="28"/>
    </row>
    <row r="559" spans="18:25" ht="15.75" customHeight="1">
      <c r="R559" s="14"/>
      <c r="X559" s="26"/>
      <c r="Y559" s="28"/>
    </row>
    <row r="560" spans="18:25" ht="15.75" customHeight="1">
      <c r="R560" s="14"/>
      <c r="X560" s="26"/>
      <c r="Y560" s="28"/>
    </row>
    <row r="561" spans="18:25" ht="15.75" customHeight="1">
      <c r="R561" s="14"/>
      <c r="X561" s="26"/>
      <c r="Y561" s="28"/>
    </row>
    <row r="562" spans="18:25" ht="15.75" customHeight="1">
      <c r="R562" s="14"/>
      <c r="X562" s="26"/>
      <c r="Y562" s="28"/>
    </row>
    <row r="563" spans="18:25" ht="15.75" customHeight="1">
      <c r="R563" s="14"/>
      <c r="X563" s="26"/>
      <c r="Y563" s="28"/>
    </row>
    <row r="564" spans="18:25" ht="15.75" customHeight="1">
      <c r="R564" s="14"/>
      <c r="X564" s="26"/>
      <c r="Y564" s="28"/>
    </row>
    <row r="565" spans="18:25" ht="15.75" customHeight="1">
      <c r="R565" s="14"/>
      <c r="X565" s="26"/>
      <c r="Y565" s="28"/>
    </row>
    <row r="566" spans="18:25" ht="15.75" customHeight="1">
      <c r="R566" s="14"/>
      <c r="X566" s="26"/>
      <c r="Y566" s="28"/>
    </row>
    <row r="567" spans="18:25" ht="15.75" customHeight="1">
      <c r="R567" s="14"/>
      <c r="X567" s="26"/>
      <c r="Y567" s="28"/>
    </row>
    <row r="568" spans="18:25" ht="15.75" customHeight="1">
      <c r="R568" s="14"/>
      <c r="X568" s="26"/>
      <c r="Y568" s="28"/>
    </row>
    <row r="569" spans="18:25" ht="15.75" customHeight="1">
      <c r="R569" s="14"/>
      <c r="X569" s="26"/>
      <c r="Y569" s="28"/>
    </row>
    <row r="570" spans="18:25" ht="15.75" customHeight="1">
      <c r="R570" s="14"/>
      <c r="X570" s="26"/>
      <c r="Y570" s="28"/>
    </row>
    <row r="571" spans="18:25" ht="15.75" customHeight="1">
      <c r="R571" s="14"/>
      <c r="X571" s="26"/>
      <c r="Y571" s="28"/>
    </row>
    <row r="572" spans="18:25" ht="15.75" customHeight="1">
      <c r="R572" s="14"/>
      <c r="X572" s="26"/>
      <c r="Y572" s="28"/>
    </row>
    <row r="573" spans="18:25" ht="15.75" customHeight="1">
      <c r="R573" s="14"/>
      <c r="X573" s="26"/>
      <c r="Y573" s="28"/>
    </row>
    <row r="574" spans="18:25" ht="15.75" customHeight="1">
      <c r="R574" s="14"/>
      <c r="X574" s="26"/>
      <c r="Y574" s="28"/>
    </row>
    <row r="575" spans="18:25" ht="15.75" customHeight="1">
      <c r="R575" s="14"/>
      <c r="X575" s="26"/>
      <c r="Y575" s="28"/>
    </row>
    <row r="576" spans="18:25" ht="15.75" customHeight="1">
      <c r="R576" s="14"/>
      <c r="X576" s="26"/>
      <c r="Y576" s="28"/>
    </row>
    <row r="577" spans="18:25" ht="15.75" customHeight="1">
      <c r="R577" s="14"/>
      <c r="X577" s="26"/>
      <c r="Y577" s="28"/>
    </row>
    <row r="578" spans="18:25" ht="15.75" customHeight="1">
      <c r="R578" s="14"/>
      <c r="X578" s="26"/>
      <c r="Y578" s="28"/>
    </row>
    <row r="579" spans="18:25" ht="15.75" customHeight="1">
      <c r="R579" s="14"/>
      <c r="X579" s="26"/>
      <c r="Y579" s="28"/>
    </row>
    <row r="580" spans="18:25" ht="15.75" customHeight="1">
      <c r="R580" s="14"/>
      <c r="X580" s="26"/>
      <c r="Y580" s="28"/>
    </row>
    <row r="581" spans="18:25" ht="15.75" customHeight="1">
      <c r="R581" s="14"/>
      <c r="X581" s="26"/>
      <c r="Y581" s="28"/>
    </row>
    <row r="582" spans="18:25" ht="15.75" customHeight="1">
      <c r="R582" s="14"/>
      <c r="X582" s="26"/>
      <c r="Y582" s="28"/>
    </row>
    <row r="583" spans="18:25" ht="15.75" customHeight="1">
      <c r="R583" s="14"/>
      <c r="X583" s="26"/>
      <c r="Y583" s="28"/>
    </row>
    <row r="584" spans="18:25" ht="15.75" customHeight="1">
      <c r="R584" s="14"/>
      <c r="X584" s="26"/>
      <c r="Y584" s="28"/>
    </row>
    <row r="585" spans="18:25" ht="15.75" customHeight="1">
      <c r="R585" s="14"/>
      <c r="X585" s="26"/>
      <c r="Y585" s="28"/>
    </row>
    <row r="586" spans="18:25" ht="15.75" customHeight="1">
      <c r="R586" s="14"/>
      <c r="X586" s="26"/>
      <c r="Y586" s="28"/>
    </row>
    <row r="587" spans="18:25" ht="15.75" customHeight="1">
      <c r="R587" s="14"/>
      <c r="X587" s="26"/>
      <c r="Y587" s="28"/>
    </row>
    <row r="588" spans="18:25" ht="15.75" customHeight="1">
      <c r="R588" s="14"/>
      <c r="X588" s="26"/>
      <c r="Y588" s="28"/>
    </row>
    <row r="589" spans="18:25" ht="15.75" customHeight="1">
      <c r="R589" s="14"/>
      <c r="X589" s="26"/>
      <c r="Y589" s="28"/>
    </row>
    <row r="590" spans="18:25" ht="15.75" customHeight="1">
      <c r="R590" s="14"/>
      <c r="X590" s="26"/>
      <c r="Y590" s="28"/>
    </row>
    <row r="591" spans="18:25" ht="15.75" customHeight="1">
      <c r="R591" s="14"/>
      <c r="X591" s="26"/>
      <c r="Y591" s="28"/>
    </row>
    <row r="592" spans="18:25" ht="15.75" customHeight="1">
      <c r="R592" s="14"/>
      <c r="X592" s="26"/>
      <c r="Y592" s="28"/>
    </row>
    <row r="593" spans="18:25" ht="15.75" customHeight="1">
      <c r="R593" s="14"/>
      <c r="X593" s="26"/>
      <c r="Y593" s="28"/>
    </row>
    <row r="594" spans="18:25" ht="15.75" customHeight="1">
      <c r="R594" s="14"/>
      <c r="X594" s="26"/>
      <c r="Y594" s="28"/>
    </row>
    <row r="595" spans="18:25" ht="15.75" customHeight="1">
      <c r="R595" s="14"/>
      <c r="X595" s="26"/>
      <c r="Y595" s="28"/>
    </row>
    <row r="596" spans="18:25" ht="15.75" customHeight="1">
      <c r="R596" s="14"/>
      <c r="X596" s="26"/>
      <c r="Y596" s="28"/>
    </row>
    <row r="597" spans="18:25" ht="15.75" customHeight="1">
      <c r="R597" s="14"/>
      <c r="X597" s="26"/>
      <c r="Y597" s="28"/>
    </row>
    <row r="598" spans="18:25" ht="15.75" customHeight="1">
      <c r="R598" s="14"/>
      <c r="X598" s="26"/>
      <c r="Y598" s="28"/>
    </row>
    <row r="599" spans="18:25" ht="15.75" customHeight="1">
      <c r="R599" s="14"/>
      <c r="X599" s="26"/>
      <c r="Y599" s="28"/>
    </row>
    <row r="600" spans="18:25" ht="15.75" customHeight="1">
      <c r="R600" s="14"/>
      <c r="X600" s="26"/>
      <c r="Y600" s="28"/>
    </row>
    <row r="601" spans="18:25" ht="15.75" customHeight="1">
      <c r="R601" s="14"/>
      <c r="X601" s="26"/>
      <c r="Y601" s="28"/>
    </row>
    <row r="602" spans="18:25" ht="15.75" customHeight="1">
      <c r="R602" s="14"/>
      <c r="X602" s="26"/>
      <c r="Y602" s="28"/>
    </row>
    <row r="603" spans="18:25" ht="15.75" customHeight="1">
      <c r="R603" s="14"/>
      <c r="X603" s="26"/>
      <c r="Y603" s="28"/>
    </row>
    <row r="604" spans="18:25" ht="15.75" customHeight="1">
      <c r="R604" s="14"/>
      <c r="X604" s="26"/>
      <c r="Y604" s="28"/>
    </row>
    <row r="605" spans="18:25" ht="15.75" customHeight="1">
      <c r="R605" s="14"/>
      <c r="X605" s="26"/>
      <c r="Y605" s="28"/>
    </row>
    <row r="606" spans="18:25" ht="15.75" customHeight="1">
      <c r="R606" s="14"/>
      <c r="X606" s="26"/>
      <c r="Y606" s="28"/>
    </row>
    <row r="607" spans="18:25" ht="15.75" customHeight="1">
      <c r="R607" s="14"/>
      <c r="X607" s="26"/>
      <c r="Y607" s="28"/>
    </row>
    <row r="608" spans="18:25" ht="15.75" customHeight="1">
      <c r="R608" s="14"/>
      <c r="X608" s="26"/>
      <c r="Y608" s="28"/>
    </row>
    <row r="609" spans="18:25" ht="15.75" customHeight="1">
      <c r="R609" s="14"/>
      <c r="X609" s="26"/>
      <c r="Y609" s="28"/>
    </row>
    <row r="610" spans="18:25" ht="15.75" customHeight="1">
      <c r="R610" s="14"/>
      <c r="X610" s="26"/>
      <c r="Y610" s="28"/>
    </row>
    <row r="611" spans="18:25" ht="15.75" customHeight="1">
      <c r="R611" s="14"/>
      <c r="X611" s="26"/>
      <c r="Y611" s="28"/>
    </row>
    <row r="612" spans="18:25" ht="15.75" customHeight="1">
      <c r="R612" s="14"/>
      <c r="X612" s="26"/>
      <c r="Y612" s="28"/>
    </row>
    <row r="613" spans="18:25" ht="15.75" customHeight="1">
      <c r="R613" s="14"/>
      <c r="X613" s="26"/>
      <c r="Y613" s="28"/>
    </row>
    <row r="614" spans="18:25" ht="15.75" customHeight="1">
      <c r="R614" s="14"/>
      <c r="X614" s="26"/>
      <c r="Y614" s="28"/>
    </row>
    <row r="615" spans="18:25" ht="15.75" customHeight="1">
      <c r="R615" s="14"/>
      <c r="X615" s="26"/>
      <c r="Y615" s="28"/>
    </row>
    <row r="616" spans="18:25" ht="15.75" customHeight="1">
      <c r="R616" s="14"/>
      <c r="X616" s="26"/>
      <c r="Y616" s="28"/>
    </row>
    <row r="617" spans="18:25" ht="15.75" customHeight="1">
      <c r="R617" s="14"/>
      <c r="X617" s="26"/>
      <c r="Y617" s="28"/>
    </row>
    <row r="618" spans="18:25" ht="15.75" customHeight="1">
      <c r="R618" s="14"/>
      <c r="X618" s="26"/>
      <c r="Y618" s="28"/>
    </row>
    <row r="619" spans="18:25" ht="15.75" customHeight="1">
      <c r="R619" s="14"/>
      <c r="X619" s="26"/>
      <c r="Y619" s="28"/>
    </row>
    <row r="620" spans="18:25" ht="15.75" customHeight="1">
      <c r="R620" s="14"/>
      <c r="X620" s="26"/>
      <c r="Y620" s="28"/>
    </row>
    <row r="621" spans="18:25" ht="15.75" customHeight="1">
      <c r="R621" s="14"/>
      <c r="X621" s="26"/>
      <c r="Y621" s="28"/>
    </row>
    <row r="622" spans="18:25" ht="15.75" customHeight="1">
      <c r="R622" s="14"/>
      <c r="X622" s="26"/>
      <c r="Y622" s="28"/>
    </row>
    <row r="623" spans="18:25" ht="15.75" customHeight="1">
      <c r="R623" s="14"/>
      <c r="X623" s="26"/>
      <c r="Y623" s="28"/>
    </row>
    <row r="624" spans="18:25" ht="15.75" customHeight="1">
      <c r="R624" s="14"/>
      <c r="X624" s="26"/>
      <c r="Y624" s="28"/>
    </row>
    <row r="625" spans="18:25" ht="15.75" customHeight="1">
      <c r="R625" s="14"/>
      <c r="X625" s="26"/>
      <c r="Y625" s="28"/>
    </row>
    <row r="626" spans="18:25" ht="15.75" customHeight="1">
      <c r="R626" s="14"/>
      <c r="X626" s="26"/>
      <c r="Y626" s="28"/>
    </row>
    <row r="627" spans="18:25" ht="15.75" customHeight="1">
      <c r="R627" s="14"/>
      <c r="X627" s="26"/>
      <c r="Y627" s="28"/>
    </row>
    <row r="628" spans="18:25" ht="15.75" customHeight="1">
      <c r="R628" s="14"/>
      <c r="X628" s="26"/>
      <c r="Y628" s="28"/>
    </row>
    <row r="629" spans="18:25" ht="15.75" customHeight="1">
      <c r="R629" s="14"/>
      <c r="X629" s="26"/>
      <c r="Y629" s="28"/>
    </row>
    <row r="630" spans="18:25" ht="15.75" customHeight="1">
      <c r="R630" s="14"/>
      <c r="X630" s="26"/>
      <c r="Y630" s="28"/>
    </row>
    <row r="631" spans="18:25" ht="15.75" customHeight="1">
      <c r="R631" s="14"/>
      <c r="X631" s="26"/>
      <c r="Y631" s="28"/>
    </row>
    <row r="632" spans="18:25" ht="15.75" customHeight="1">
      <c r="R632" s="14"/>
      <c r="X632" s="26"/>
      <c r="Y632" s="28"/>
    </row>
    <row r="633" spans="18:25" ht="15.75" customHeight="1">
      <c r="R633" s="14"/>
      <c r="X633" s="26"/>
      <c r="Y633" s="28"/>
    </row>
    <row r="634" spans="18:25" ht="15.75" customHeight="1">
      <c r="R634" s="14"/>
      <c r="X634" s="26"/>
      <c r="Y634" s="28"/>
    </row>
    <row r="635" spans="18:25" ht="15.75" customHeight="1">
      <c r="R635" s="14"/>
      <c r="X635" s="26"/>
      <c r="Y635" s="28"/>
    </row>
    <row r="636" spans="18:25" ht="15.75" customHeight="1">
      <c r="R636" s="14"/>
      <c r="X636" s="26"/>
      <c r="Y636" s="28"/>
    </row>
    <row r="637" spans="18:25" ht="15.75" customHeight="1">
      <c r="R637" s="14"/>
      <c r="X637" s="26"/>
      <c r="Y637" s="28"/>
    </row>
    <row r="638" spans="18:25" ht="15.75" customHeight="1">
      <c r="R638" s="14"/>
      <c r="X638" s="26"/>
      <c r="Y638" s="28"/>
    </row>
    <row r="639" spans="18:25" ht="15.75" customHeight="1">
      <c r="R639" s="14"/>
      <c r="X639" s="26"/>
      <c r="Y639" s="28"/>
    </row>
    <row r="640" spans="18:25" ht="15.75" customHeight="1">
      <c r="R640" s="14"/>
      <c r="X640" s="26"/>
      <c r="Y640" s="28"/>
    </row>
    <row r="641" spans="18:25" ht="15.75" customHeight="1">
      <c r="R641" s="14"/>
      <c r="X641" s="26"/>
      <c r="Y641" s="28"/>
    </row>
    <row r="642" spans="18:25" ht="15.75" customHeight="1">
      <c r="R642" s="14"/>
      <c r="X642" s="26"/>
      <c r="Y642" s="28"/>
    </row>
    <row r="643" spans="18:25" ht="15.75" customHeight="1">
      <c r="R643" s="14"/>
      <c r="X643" s="26"/>
      <c r="Y643" s="28"/>
    </row>
    <row r="644" spans="18:25" ht="15.75" customHeight="1">
      <c r="R644" s="14"/>
      <c r="X644" s="26"/>
      <c r="Y644" s="28"/>
    </row>
    <row r="645" spans="18:25" ht="15.75" customHeight="1">
      <c r="R645" s="14"/>
      <c r="X645" s="26"/>
      <c r="Y645" s="28"/>
    </row>
    <row r="646" spans="18:25" ht="15.75" customHeight="1">
      <c r="R646" s="14"/>
      <c r="X646" s="26"/>
      <c r="Y646" s="28"/>
    </row>
    <row r="647" spans="18:25" ht="15.75" customHeight="1">
      <c r="R647" s="14"/>
      <c r="X647" s="26"/>
      <c r="Y647" s="28"/>
    </row>
    <row r="648" spans="18:25" ht="15.75" customHeight="1">
      <c r="R648" s="14"/>
      <c r="X648" s="26"/>
      <c r="Y648" s="28"/>
    </row>
    <row r="649" spans="18:25" ht="15.75" customHeight="1">
      <c r="R649" s="14"/>
      <c r="X649" s="26"/>
      <c r="Y649" s="28"/>
    </row>
    <row r="650" spans="18:25" ht="15.75" customHeight="1">
      <c r="R650" s="14"/>
      <c r="X650" s="26"/>
      <c r="Y650" s="28"/>
    </row>
    <row r="651" spans="18:25" ht="15.75" customHeight="1">
      <c r="R651" s="14"/>
      <c r="X651" s="26"/>
      <c r="Y651" s="28"/>
    </row>
    <row r="652" spans="18:25" ht="15.75" customHeight="1">
      <c r="R652" s="14"/>
      <c r="X652" s="26"/>
      <c r="Y652" s="28"/>
    </row>
    <row r="653" spans="18:25" ht="15.75" customHeight="1">
      <c r="R653" s="14"/>
      <c r="X653" s="26"/>
      <c r="Y653" s="28"/>
    </row>
    <row r="654" spans="18:25" ht="15.75" customHeight="1">
      <c r="R654" s="14"/>
      <c r="X654" s="26"/>
      <c r="Y654" s="28"/>
    </row>
    <row r="655" spans="18:25" ht="15.75" customHeight="1">
      <c r="R655" s="14"/>
      <c r="X655" s="26"/>
      <c r="Y655" s="28"/>
    </row>
    <row r="656" spans="18:25" ht="15.75" customHeight="1">
      <c r="R656" s="14"/>
      <c r="X656" s="26"/>
      <c r="Y656" s="28"/>
    </row>
    <row r="657" spans="18:25" ht="15.75" customHeight="1">
      <c r="R657" s="14"/>
      <c r="X657" s="26"/>
      <c r="Y657" s="28"/>
    </row>
    <row r="658" spans="18:25" ht="15.75" customHeight="1">
      <c r="R658" s="14"/>
      <c r="X658" s="26"/>
      <c r="Y658" s="28"/>
    </row>
    <row r="659" spans="18:25" ht="15.75" customHeight="1">
      <c r="R659" s="14"/>
      <c r="X659" s="26"/>
      <c r="Y659" s="28"/>
    </row>
    <row r="660" spans="18:25" ht="15.75" customHeight="1">
      <c r="R660" s="14"/>
      <c r="X660" s="26"/>
      <c r="Y660" s="28"/>
    </row>
    <row r="661" spans="18:25" ht="15.75" customHeight="1">
      <c r="R661" s="14"/>
      <c r="X661" s="26"/>
      <c r="Y661" s="28"/>
    </row>
    <row r="662" spans="18:25" ht="15.75" customHeight="1">
      <c r="R662" s="14"/>
      <c r="X662" s="26"/>
      <c r="Y662" s="28"/>
    </row>
    <row r="663" spans="18:25" ht="15.75" customHeight="1">
      <c r="R663" s="14"/>
      <c r="X663" s="26"/>
      <c r="Y663" s="28"/>
    </row>
    <row r="664" spans="18:25" ht="15.75" customHeight="1">
      <c r="R664" s="14"/>
      <c r="X664" s="26"/>
      <c r="Y664" s="28"/>
    </row>
    <row r="665" spans="18:25" ht="15.75" customHeight="1">
      <c r="R665" s="14"/>
      <c r="X665" s="26"/>
      <c r="Y665" s="28"/>
    </row>
    <row r="666" spans="18:25" ht="15.75" customHeight="1">
      <c r="R666" s="14"/>
      <c r="X666" s="26"/>
      <c r="Y666" s="28"/>
    </row>
    <row r="667" spans="18:25" ht="15.75" customHeight="1">
      <c r="R667" s="14"/>
      <c r="X667" s="26"/>
      <c r="Y667" s="28"/>
    </row>
    <row r="668" spans="18:25" ht="15.75" customHeight="1">
      <c r="R668" s="14"/>
      <c r="X668" s="26"/>
      <c r="Y668" s="28"/>
    </row>
    <row r="669" spans="18:25" ht="15.75" customHeight="1">
      <c r="R669" s="14"/>
      <c r="X669" s="26"/>
      <c r="Y669" s="28"/>
    </row>
    <row r="670" spans="18:25" ht="15.75" customHeight="1">
      <c r="R670" s="14"/>
      <c r="X670" s="26"/>
      <c r="Y670" s="28"/>
    </row>
    <row r="671" spans="18:25" ht="15.75" customHeight="1">
      <c r="R671" s="14"/>
      <c r="X671" s="26"/>
      <c r="Y671" s="28"/>
    </row>
    <row r="672" spans="18:25" ht="15.75" customHeight="1">
      <c r="R672" s="14"/>
      <c r="X672" s="26"/>
      <c r="Y672" s="28"/>
    </row>
    <row r="673" spans="18:25" ht="15.75" customHeight="1">
      <c r="R673" s="14"/>
      <c r="X673" s="26"/>
      <c r="Y673" s="28"/>
    </row>
    <row r="674" spans="18:25" ht="15.75" customHeight="1">
      <c r="R674" s="14"/>
      <c r="X674" s="26"/>
      <c r="Y674" s="28"/>
    </row>
    <row r="675" spans="18:25" ht="15.75" customHeight="1">
      <c r="R675" s="14"/>
      <c r="X675" s="26"/>
      <c r="Y675" s="28"/>
    </row>
    <row r="676" spans="18:25" ht="15.75" customHeight="1">
      <c r="R676" s="14"/>
      <c r="X676" s="26"/>
      <c r="Y676" s="28"/>
    </row>
    <row r="677" spans="18:25" ht="15.75" customHeight="1">
      <c r="R677" s="14"/>
      <c r="X677" s="26"/>
      <c r="Y677" s="28"/>
    </row>
    <row r="678" spans="18:25" ht="15.75" customHeight="1">
      <c r="R678" s="14"/>
      <c r="X678" s="26"/>
      <c r="Y678" s="28"/>
    </row>
    <row r="679" spans="18:25" ht="15.75" customHeight="1">
      <c r="R679" s="14"/>
      <c r="X679" s="26"/>
      <c r="Y679" s="28"/>
    </row>
    <row r="680" spans="18:25" ht="15.75" customHeight="1">
      <c r="R680" s="14"/>
      <c r="X680" s="26"/>
      <c r="Y680" s="28"/>
    </row>
    <row r="681" spans="18:25" ht="15.75" customHeight="1">
      <c r="R681" s="14"/>
      <c r="X681" s="26"/>
      <c r="Y681" s="28"/>
    </row>
    <row r="682" spans="18:25" ht="15.75" customHeight="1">
      <c r="R682" s="14"/>
      <c r="X682" s="26"/>
      <c r="Y682" s="28"/>
    </row>
    <row r="683" spans="18:25" ht="15.75" customHeight="1">
      <c r="R683" s="14"/>
      <c r="X683" s="26"/>
      <c r="Y683" s="28"/>
    </row>
    <row r="684" spans="18:25" ht="15.75" customHeight="1">
      <c r="R684" s="14"/>
      <c r="X684" s="26"/>
      <c r="Y684" s="28"/>
    </row>
    <row r="685" spans="18:25" ht="15.75" customHeight="1">
      <c r="R685" s="14"/>
      <c r="X685" s="26"/>
      <c r="Y685" s="28"/>
    </row>
    <row r="686" spans="18:25" ht="15.75" customHeight="1">
      <c r="R686" s="14"/>
      <c r="X686" s="26"/>
      <c r="Y686" s="28"/>
    </row>
    <row r="687" spans="18:25" ht="15.75" customHeight="1">
      <c r="R687" s="14"/>
      <c r="X687" s="26"/>
      <c r="Y687" s="28"/>
    </row>
    <row r="688" spans="18:25" ht="15.75" customHeight="1">
      <c r="R688" s="14"/>
      <c r="X688" s="26"/>
      <c r="Y688" s="28"/>
    </row>
    <row r="689" spans="18:25" ht="15.75" customHeight="1">
      <c r="R689" s="14"/>
      <c r="X689" s="26"/>
      <c r="Y689" s="28"/>
    </row>
    <row r="690" spans="18:25" ht="15.75" customHeight="1">
      <c r="R690" s="14"/>
      <c r="X690" s="26"/>
      <c r="Y690" s="28"/>
    </row>
    <row r="691" spans="18:25" ht="15.75" customHeight="1">
      <c r="R691" s="14"/>
      <c r="X691" s="26"/>
      <c r="Y691" s="28"/>
    </row>
    <row r="692" spans="18:25" ht="15.75" customHeight="1">
      <c r="R692" s="14"/>
      <c r="X692" s="26"/>
      <c r="Y692" s="28"/>
    </row>
    <row r="693" spans="18:25" ht="15.75" customHeight="1">
      <c r="R693" s="14"/>
      <c r="X693" s="26"/>
      <c r="Y693" s="28"/>
    </row>
    <row r="694" spans="18:25" ht="15.75" customHeight="1">
      <c r="R694" s="14"/>
      <c r="X694" s="26"/>
      <c r="Y694" s="28"/>
    </row>
    <row r="695" spans="18:25" ht="15.75" customHeight="1">
      <c r="R695" s="14"/>
      <c r="X695" s="26"/>
      <c r="Y695" s="28"/>
    </row>
    <row r="696" spans="18:25" ht="15.75" customHeight="1">
      <c r="R696" s="14"/>
      <c r="X696" s="26"/>
      <c r="Y696" s="28"/>
    </row>
    <row r="697" spans="18:25" ht="15.75" customHeight="1">
      <c r="R697" s="14"/>
      <c r="X697" s="26"/>
      <c r="Y697" s="28"/>
    </row>
    <row r="698" spans="18:25" ht="15.75" customHeight="1">
      <c r="R698" s="14"/>
      <c r="X698" s="26"/>
      <c r="Y698" s="28"/>
    </row>
    <row r="699" spans="18:25" ht="15.75" customHeight="1">
      <c r="R699" s="14"/>
      <c r="X699" s="26"/>
      <c r="Y699" s="28"/>
    </row>
    <row r="700" spans="18:25" ht="15.75" customHeight="1">
      <c r="R700" s="14"/>
      <c r="X700" s="26"/>
      <c r="Y700" s="28"/>
    </row>
    <row r="701" spans="18:25" ht="15.75" customHeight="1">
      <c r="R701" s="14"/>
      <c r="X701" s="26"/>
      <c r="Y701" s="28"/>
    </row>
    <row r="702" spans="18:25" ht="15.75" customHeight="1">
      <c r="R702" s="14"/>
      <c r="X702" s="26"/>
      <c r="Y702" s="28"/>
    </row>
    <row r="703" spans="18:25" ht="15.75" customHeight="1">
      <c r="R703" s="14"/>
      <c r="X703" s="26"/>
      <c r="Y703" s="28"/>
    </row>
    <row r="704" spans="18:25" ht="15.75" customHeight="1">
      <c r="R704" s="14"/>
      <c r="X704" s="26"/>
      <c r="Y704" s="28"/>
    </row>
    <row r="705" spans="18:25" ht="15.75" customHeight="1">
      <c r="R705" s="14"/>
      <c r="X705" s="26"/>
      <c r="Y705" s="28"/>
    </row>
    <row r="706" spans="18:25" ht="15.75" customHeight="1">
      <c r="R706" s="14"/>
      <c r="X706" s="26"/>
      <c r="Y706" s="28"/>
    </row>
    <row r="707" spans="18:25" ht="15.75" customHeight="1">
      <c r="R707" s="14"/>
      <c r="X707" s="26"/>
      <c r="Y707" s="28"/>
    </row>
    <row r="708" spans="18:25" ht="15.75" customHeight="1">
      <c r="R708" s="14"/>
      <c r="X708" s="26"/>
      <c r="Y708" s="28"/>
    </row>
    <row r="709" spans="18:25" ht="15.75" customHeight="1">
      <c r="R709" s="14"/>
      <c r="X709" s="26"/>
      <c r="Y709" s="28"/>
    </row>
    <row r="710" spans="18:25" ht="15.75" customHeight="1">
      <c r="R710" s="14"/>
      <c r="X710" s="26"/>
      <c r="Y710" s="28"/>
    </row>
    <row r="711" spans="18:25" ht="15.75" customHeight="1">
      <c r="R711" s="14"/>
      <c r="X711" s="26"/>
      <c r="Y711" s="28"/>
    </row>
    <row r="712" spans="18:25" ht="15.75" customHeight="1">
      <c r="R712" s="14"/>
      <c r="X712" s="26"/>
      <c r="Y712" s="28"/>
    </row>
    <row r="713" spans="18:25" ht="15.75" customHeight="1">
      <c r="R713" s="14"/>
      <c r="X713" s="26"/>
      <c r="Y713" s="28"/>
    </row>
    <row r="714" spans="18:25" ht="15.75" customHeight="1">
      <c r="R714" s="14"/>
      <c r="X714" s="26"/>
      <c r="Y714" s="28"/>
    </row>
    <row r="715" spans="18:25" ht="15.75" customHeight="1">
      <c r="R715" s="14"/>
      <c r="X715" s="26"/>
      <c r="Y715" s="28"/>
    </row>
    <row r="716" spans="18:25" ht="15.75" customHeight="1">
      <c r="R716" s="14"/>
      <c r="X716" s="26"/>
      <c r="Y716" s="28"/>
    </row>
    <row r="717" spans="18:25" ht="15.75" customHeight="1">
      <c r="R717" s="14"/>
      <c r="X717" s="26"/>
      <c r="Y717" s="28"/>
    </row>
    <row r="718" spans="18:25" ht="15.75" customHeight="1">
      <c r="R718" s="14"/>
      <c r="X718" s="26"/>
      <c r="Y718" s="28"/>
    </row>
    <row r="719" spans="18:25" ht="15.75" customHeight="1">
      <c r="R719" s="14"/>
      <c r="X719" s="26"/>
      <c r="Y719" s="28"/>
    </row>
    <row r="720" spans="18:25" ht="15.75" customHeight="1">
      <c r="R720" s="14"/>
      <c r="X720" s="26"/>
      <c r="Y720" s="28"/>
    </row>
    <row r="721" spans="18:25" ht="15.75" customHeight="1">
      <c r="R721" s="14"/>
      <c r="X721" s="26"/>
      <c r="Y721" s="28"/>
    </row>
    <row r="722" spans="18:25" ht="15.75" customHeight="1">
      <c r="R722" s="14"/>
      <c r="X722" s="26"/>
      <c r="Y722" s="28"/>
    </row>
    <row r="723" spans="18:25" ht="15.75" customHeight="1">
      <c r="R723" s="14"/>
      <c r="X723" s="26"/>
      <c r="Y723" s="28"/>
    </row>
    <row r="724" spans="18:25" ht="15.75" customHeight="1">
      <c r="R724" s="14"/>
      <c r="X724" s="26"/>
      <c r="Y724" s="28"/>
    </row>
    <row r="725" spans="18:25" ht="15.75" customHeight="1">
      <c r="R725" s="14"/>
      <c r="X725" s="26"/>
      <c r="Y725" s="28"/>
    </row>
    <row r="726" spans="18:25" ht="15.75" customHeight="1">
      <c r="R726" s="14"/>
      <c r="X726" s="26"/>
      <c r="Y726" s="28"/>
    </row>
    <row r="727" spans="18:25" ht="15.75" customHeight="1">
      <c r="R727" s="14"/>
      <c r="X727" s="26"/>
      <c r="Y727" s="28"/>
    </row>
    <row r="728" spans="18:25" ht="15.75" customHeight="1">
      <c r="R728" s="14"/>
      <c r="X728" s="26"/>
      <c r="Y728" s="28"/>
    </row>
    <row r="729" spans="18:25" ht="15.75" customHeight="1">
      <c r="R729" s="14"/>
      <c r="X729" s="26"/>
      <c r="Y729" s="28"/>
    </row>
    <row r="730" spans="18:25" ht="15.75" customHeight="1">
      <c r="R730" s="14"/>
      <c r="X730" s="26"/>
      <c r="Y730" s="28"/>
    </row>
    <row r="731" spans="18:25" ht="15.75" customHeight="1">
      <c r="R731" s="14"/>
      <c r="X731" s="26"/>
      <c r="Y731" s="28"/>
    </row>
    <row r="732" spans="18:25" ht="15.75" customHeight="1">
      <c r="R732" s="14"/>
      <c r="X732" s="26"/>
      <c r="Y732" s="28"/>
    </row>
    <row r="733" spans="18:25" ht="15.75" customHeight="1">
      <c r="R733" s="14"/>
      <c r="X733" s="26"/>
      <c r="Y733" s="28"/>
    </row>
    <row r="734" spans="18:25" ht="15.75" customHeight="1">
      <c r="R734" s="14"/>
      <c r="X734" s="26"/>
      <c r="Y734" s="28"/>
    </row>
    <row r="735" spans="18:25" ht="15.75" customHeight="1">
      <c r="R735" s="14"/>
      <c r="X735" s="26"/>
      <c r="Y735" s="28"/>
    </row>
    <row r="736" spans="18:25" ht="15.75" customHeight="1">
      <c r="R736" s="14"/>
      <c r="X736" s="26"/>
      <c r="Y736" s="28"/>
    </row>
    <row r="737" spans="18:25" ht="15.75" customHeight="1">
      <c r="R737" s="14"/>
      <c r="X737" s="26"/>
      <c r="Y737" s="28"/>
    </row>
    <row r="738" spans="18:25" ht="15.75" customHeight="1">
      <c r="R738" s="14"/>
      <c r="X738" s="26"/>
      <c r="Y738" s="28"/>
    </row>
    <row r="739" spans="18:25" ht="15.75" customHeight="1">
      <c r="R739" s="14"/>
      <c r="X739" s="26"/>
      <c r="Y739" s="28"/>
    </row>
    <row r="740" spans="18:25" ht="15.75" customHeight="1">
      <c r="R740" s="14"/>
      <c r="X740" s="26"/>
      <c r="Y740" s="28"/>
    </row>
    <row r="741" spans="18:25" ht="15.75" customHeight="1">
      <c r="R741" s="14"/>
      <c r="X741" s="26"/>
      <c r="Y741" s="28"/>
    </row>
    <row r="742" spans="18:25" ht="15.75" customHeight="1">
      <c r="R742" s="14"/>
      <c r="X742" s="26"/>
      <c r="Y742" s="28"/>
    </row>
    <row r="743" spans="18:25" ht="15.75" customHeight="1">
      <c r="R743" s="14"/>
      <c r="X743" s="26"/>
      <c r="Y743" s="28"/>
    </row>
    <row r="744" spans="18:25" ht="15.75" customHeight="1">
      <c r="R744" s="14"/>
      <c r="X744" s="26"/>
      <c r="Y744" s="28"/>
    </row>
    <row r="745" spans="18:25" ht="15.75" customHeight="1">
      <c r="R745" s="14"/>
      <c r="X745" s="26"/>
      <c r="Y745" s="28"/>
    </row>
    <row r="746" spans="18:25" ht="15.75" customHeight="1">
      <c r="R746" s="14"/>
      <c r="X746" s="26"/>
      <c r="Y746" s="28"/>
    </row>
    <row r="747" spans="18:25" ht="15.75" customHeight="1">
      <c r="R747" s="14"/>
      <c r="X747" s="26"/>
      <c r="Y747" s="28"/>
    </row>
    <row r="748" spans="18:25" ht="15.75" customHeight="1">
      <c r="R748" s="14"/>
      <c r="X748" s="26"/>
      <c r="Y748" s="28"/>
    </row>
    <row r="749" spans="18:25" ht="15.75" customHeight="1">
      <c r="R749" s="14"/>
      <c r="X749" s="26"/>
      <c r="Y749" s="28"/>
    </row>
    <row r="750" spans="18:25" ht="15.75" customHeight="1">
      <c r="R750" s="14"/>
      <c r="X750" s="26"/>
      <c r="Y750" s="28"/>
    </row>
    <row r="751" spans="18:25" ht="15.75" customHeight="1">
      <c r="R751" s="14"/>
      <c r="X751" s="26"/>
      <c r="Y751" s="28"/>
    </row>
    <row r="752" spans="18:25" ht="15.75" customHeight="1">
      <c r="R752" s="14"/>
      <c r="X752" s="26"/>
      <c r="Y752" s="28"/>
    </row>
    <row r="753" spans="18:25" ht="15.75" customHeight="1">
      <c r="R753" s="14"/>
      <c r="X753" s="26"/>
      <c r="Y753" s="28"/>
    </row>
    <row r="754" spans="18:25" ht="15.75" customHeight="1">
      <c r="R754" s="14"/>
      <c r="X754" s="26"/>
      <c r="Y754" s="28"/>
    </row>
    <row r="755" spans="18:25" ht="15.75" customHeight="1">
      <c r="R755" s="14"/>
      <c r="X755" s="26"/>
      <c r="Y755" s="28"/>
    </row>
    <row r="756" spans="18:25" ht="15.75" customHeight="1">
      <c r="R756" s="14"/>
      <c r="X756" s="26"/>
      <c r="Y756" s="28"/>
    </row>
    <row r="757" spans="18:25" ht="15.75" customHeight="1">
      <c r="R757" s="14"/>
      <c r="X757" s="26"/>
      <c r="Y757" s="28"/>
    </row>
    <row r="758" spans="18:25" ht="15.75" customHeight="1">
      <c r="R758" s="14"/>
      <c r="X758" s="26"/>
      <c r="Y758" s="28"/>
    </row>
    <row r="759" spans="18:25" ht="15.75" customHeight="1">
      <c r="R759" s="14"/>
      <c r="X759" s="26"/>
      <c r="Y759" s="28"/>
    </row>
    <row r="760" spans="18:25" ht="15.75" customHeight="1">
      <c r="R760" s="14"/>
      <c r="X760" s="26"/>
      <c r="Y760" s="28"/>
    </row>
    <row r="761" spans="18:25" ht="15.75" customHeight="1">
      <c r="R761" s="14"/>
      <c r="X761" s="26"/>
      <c r="Y761" s="28"/>
    </row>
    <row r="762" spans="18:25" ht="15.75" customHeight="1">
      <c r="R762" s="14"/>
      <c r="X762" s="26"/>
      <c r="Y762" s="28"/>
    </row>
    <row r="763" spans="18:25" ht="15.75" customHeight="1">
      <c r="R763" s="14"/>
      <c r="X763" s="26"/>
      <c r="Y763" s="28"/>
    </row>
    <row r="764" spans="18:25" ht="15.75" customHeight="1">
      <c r="R764" s="14"/>
      <c r="X764" s="26"/>
      <c r="Y764" s="28"/>
    </row>
    <row r="765" spans="18:25" ht="15.75" customHeight="1">
      <c r="R765" s="14"/>
      <c r="X765" s="26"/>
      <c r="Y765" s="28"/>
    </row>
    <row r="766" spans="18:25" ht="15.75" customHeight="1">
      <c r="R766" s="14"/>
      <c r="X766" s="26"/>
      <c r="Y766" s="28"/>
    </row>
    <row r="767" spans="18:25" ht="15.75" customHeight="1">
      <c r="R767" s="14"/>
      <c r="X767" s="26"/>
      <c r="Y767" s="28"/>
    </row>
    <row r="768" spans="18:25" ht="15.75" customHeight="1">
      <c r="R768" s="14"/>
      <c r="X768" s="26"/>
      <c r="Y768" s="28"/>
    </row>
    <row r="769" spans="18:25" ht="15.75" customHeight="1">
      <c r="R769" s="14"/>
      <c r="X769" s="26"/>
      <c r="Y769" s="28"/>
    </row>
    <row r="770" spans="18:25" ht="15.75" customHeight="1">
      <c r="R770" s="14"/>
      <c r="X770" s="26"/>
      <c r="Y770" s="28"/>
    </row>
    <row r="771" spans="18:25" ht="15.75" customHeight="1">
      <c r="R771" s="14"/>
      <c r="X771" s="26"/>
      <c r="Y771" s="28"/>
    </row>
    <row r="772" spans="18:25" ht="15.75" customHeight="1">
      <c r="R772" s="14"/>
      <c r="X772" s="26"/>
      <c r="Y772" s="28"/>
    </row>
    <row r="773" spans="18:25" ht="15.75" customHeight="1">
      <c r="R773" s="14"/>
      <c r="X773" s="26"/>
      <c r="Y773" s="28"/>
    </row>
    <row r="774" spans="18:25" ht="15.75" customHeight="1">
      <c r="R774" s="14"/>
      <c r="X774" s="26"/>
      <c r="Y774" s="28"/>
    </row>
    <row r="775" spans="18:25" ht="15.75" customHeight="1">
      <c r="R775" s="14"/>
      <c r="X775" s="26"/>
      <c r="Y775" s="28"/>
    </row>
    <row r="776" spans="18:25" ht="15.75" customHeight="1">
      <c r="R776" s="14"/>
      <c r="X776" s="26"/>
      <c r="Y776" s="28"/>
    </row>
    <row r="777" spans="18:25" ht="15.75" customHeight="1">
      <c r="R777" s="14"/>
      <c r="X777" s="26"/>
      <c r="Y777" s="28"/>
    </row>
    <row r="778" spans="18:25" ht="15.75" customHeight="1">
      <c r="R778" s="14"/>
      <c r="X778" s="26"/>
      <c r="Y778" s="28"/>
    </row>
    <row r="779" spans="18:25" ht="15.75" customHeight="1">
      <c r="R779" s="14"/>
      <c r="X779" s="26"/>
      <c r="Y779" s="28"/>
    </row>
    <row r="780" spans="18:25" ht="15.75" customHeight="1">
      <c r="R780" s="14"/>
      <c r="X780" s="26"/>
      <c r="Y780" s="28"/>
    </row>
    <row r="781" spans="18:25" ht="15.75" customHeight="1">
      <c r="R781" s="14"/>
      <c r="X781" s="26"/>
      <c r="Y781" s="28"/>
    </row>
    <row r="782" spans="18:25" ht="15.75" customHeight="1">
      <c r="R782" s="14"/>
      <c r="X782" s="26"/>
      <c r="Y782" s="28"/>
    </row>
    <row r="783" spans="18:25" ht="15.75" customHeight="1">
      <c r="R783" s="14"/>
      <c r="X783" s="26"/>
      <c r="Y783" s="28"/>
    </row>
    <row r="784" spans="18:25" ht="15.75" customHeight="1">
      <c r="R784" s="14"/>
      <c r="X784" s="26"/>
      <c r="Y784" s="28"/>
    </row>
    <row r="785" spans="18:25" ht="15.75" customHeight="1">
      <c r="R785" s="14"/>
      <c r="X785" s="26"/>
      <c r="Y785" s="28"/>
    </row>
    <row r="786" spans="18:25" ht="15.75" customHeight="1">
      <c r="R786" s="14"/>
      <c r="X786" s="26"/>
      <c r="Y786" s="28"/>
    </row>
    <row r="787" spans="18:25" ht="15.75" customHeight="1">
      <c r="R787" s="14"/>
      <c r="X787" s="26"/>
      <c r="Y787" s="28"/>
    </row>
    <row r="788" spans="18:25" ht="15.75" customHeight="1">
      <c r="R788" s="14"/>
      <c r="X788" s="26"/>
      <c r="Y788" s="28"/>
    </row>
    <row r="789" spans="18:25" ht="15.75" customHeight="1">
      <c r="R789" s="14"/>
      <c r="X789" s="26"/>
      <c r="Y789" s="28"/>
    </row>
    <row r="790" spans="18:25" ht="15.75" customHeight="1">
      <c r="R790" s="14"/>
      <c r="X790" s="26"/>
      <c r="Y790" s="28"/>
    </row>
    <row r="791" spans="18:25" ht="15.75" customHeight="1">
      <c r="R791" s="14"/>
      <c r="X791" s="26"/>
      <c r="Y791" s="28"/>
    </row>
    <row r="792" spans="18:25" ht="15.75" customHeight="1">
      <c r="R792" s="14"/>
      <c r="X792" s="26"/>
      <c r="Y792" s="28"/>
    </row>
    <row r="793" spans="18:25" ht="15.75" customHeight="1">
      <c r="R793" s="14"/>
      <c r="X793" s="26"/>
      <c r="Y793" s="28"/>
    </row>
    <row r="794" spans="18:25" ht="15.75" customHeight="1">
      <c r="R794" s="14"/>
      <c r="X794" s="26"/>
      <c r="Y794" s="28"/>
    </row>
    <row r="795" spans="18:25" ht="15.75" customHeight="1">
      <c r="R795" s="14"/>
      <c r="X795" s="26"/>
      <c r="Y795" s="28"/>
    </row>
    <row r="796" spans="18:25" ht="15.75" customHeight="1">
      <c r="R796" s="14"/>
      <c r="X796" s="26"/>
      <c r="Y796" s="28"/>
    </row>
    <row r="797" spans="18:25" ht="15.75" customHeight="1">
      <c r="R797" s="14"/>
      <c r="X797" s="26"/>
      <c r="Y797" s="28"/>
    </row>
    <row r="798" spans="18:25" ht="15.75" customHeight="1">
      <c r="R798" s="14"/>
      <c r="X798" s="26"/>
      <c r="Y798" s="28"/>
    </row>
    <row r="799" spans="18:25" ht="15.75" customHeight="1">
      <c r="R799" s="14"/>
      <c r="X799" s="26"/>
      <c r="Y799" s="28"/>
    </row>
    <row r="800" spans="18:25" ht="15.75" customHeight="1">
      <c r="R800" s="14"/>
      <c r="X800" s="26"/>
      <c r="Y800" s="28"/>
    </row>
    <row r="801" spans="18:25" ht="15.75" customHeight="1">
      <c r="R801" s="14"/>
      <c r="X801" s="26"/>
      <c r="Y801" s="28"/>
    </row>
    <row r="802" spans="18:25" ht="15.75" customHeight="1">
      <c r="R802" s="14"/>
      <c r="X802" s="26"/>
      <c r="Y802" s="28"/>
    </row>
    <row r="803" spans="18:25" ht="15.75" customHeight="1">
      <c r="R803" s="14"/>
      <c r="X803" s="26"/>
      <c r="Y803" s="28"/>
    </row>
    <row r="804" spans="18:25" ht="15.75" customHeight="1">
      <c r="R804" s="14"/>
      <c r="X804" s="26"/>
      <c r="Y804" s="28"/>
    </row>
    <row r="805" spans="18:25" ht="15.75" customHeight="1">
      <c r="R805" s="14"/>
      <c r="X805" s="26"/>
      <c r="Y805" s="28"/>
    </row>
    <row r="806" spans="18:25" ht="15.75" customHeight="1">
      <c r="R806" s="14"/>
      <c r="X806" s="26"/>
      <c r="Y806" s="28"/>
    </row>
    <row r="807" spans="18:25" ht="15.75" customHeight="1">
      <c r="R807" s="14"/>
      <c r="X807" s="26"/>
      <c r="Y807" s="28"/>
    </row>
    <row r="808" spans="18:25" ht="15.75" customHeight="1">
      <c r="R808" s="14"/>
      <c r="X808" s="26"/>
      <c r="Y808" s="28"/>
    </row>
    <row r="809" spans="18:25" ht="15.75" customHeight="1">
      <c r="R809" s="14"/>
      <c r="X809" s="26"/>
      <c r="Y809" s="28"/>
    </row>
    <row r="810" spans="18:25" ht="15.75" customHeight="1">
      <c r="R810" s="14"/>
      <c r="X810" s="26"/>
      <c r="Y810" s="28"/>
    </row>
    <row r="811" spans="18:25" ht="15.75" customHeight="1">
      <c r="R811" s="14"/>
      <c r="X811" s="26"/>
      <c r="Y811" s="28"/>
    </row>
    <row r="812" spans="18:25" ht="15.75" customHeight="1">
      <c r="R812" s="14"/>
      <c r="X812" s="26"/>
      <c r="Y812" s="28"/>
    </row>
    <row r="813" spans="18:25" ht="15.75" customHeight="1">
      <c r="R813" s="14"/>
      <c r="X813" s="26"/>
      <c r="Y813" s="28"/>
    </row>
    <row r="814" spans="18:25" ht="15.75" customHeight="1">
      <c r="R814" s="14"/>
      <c r="X814" s="26"/>
      <c r="Y814" s="28"/>
    </row>
    <row r="815" spans="18:25" ht="15.75" customHeight="1">
      <c r="R815" s="14"/>
      <c r="X815" s="26"/>
      <c r="Y815" s="28"/>
    </row>
    <row r="816" spans="18:25" ht="15.75" customHeight="1">
      <c r="R816" s="14"/>
      <c r="X816" s="26"/>
      <c r="Y816" s="28"/>
    </row>
    <row r="817" spans="18:25" ht="15.75" customHeight="1">
      <c r="R817" s="14"/>
      <c r="X817" s="26"/>
      <c r="Y817" s="28"/>
    </row>
    <row r="818" spans="18:25" ht="15.75" customHeight="1">
      <c r="R818" s="14"/>
      <c r="X818" s="26"/>
      <c r="Y818" s="28"/>
    </row>
    <row r="819" spans="18:25" ht="15.75" customHeight="1">
      <c r="R819" s="14"/>
      <c r="X819" s="26"/>
      <c r="Y819" s="28"/>
    </row>
    <row r="820" spans="18:25" ht="15.75" customHeight="1">
      <c r="R820" s="14"/>
      <c r="X820" s="26"/>
      <c r="Y820" s="28"/>
    </row>
    <row r="821" spans="18:25" ht="15.75" customHeight="1">
      <c r="R821" s="14"/>
      <c r="X821" s="26"/>
      <c r="Y821" s="28"/>
    </row>
    <row r="822" spans="18:25" ht="15.75" customHeight="1">
      <c r="R822" s="14"/>
      <c r="X822" s="26"/>
      <c r="Y822" s="28"/>
    </row>
    <row r="823" spans="18:25" ht="15.75" customHeight="1">
      <c r="R823" s="14"/>
      <c r="X823" s="26"/>
      <c r="Y823" s="28"/>
    </row>
    <row r="824" spans="18:25" ht="15.75" customHeight="1">
      <c r="R824" s="14"/>
      <c r="X824" s="26"/>
      <c r="Y824" s="28"/>
    </row>
    <row r="825" spans="18:25" ht="15.75" customHeight="1">
      <c r="R825" s="14"/>
      <c r="X825" s="26"/>
      <c r="Y825" s="28"/>
    </row>
    <row r="826" spans="18:25" ht="15.75" customHeight="1">
      <c r="R826" s="14"/>
      <c r="X826" s="26"/>
      <c r="Y826" s="28"/>
    </row>
    <row r="827" spans="18:25" ht="15.75" customHeight="1">
      <c r="R827" s="14"/>
      <c r="X827" s="26"/>
      <c r="Y827" s="28"/>
    </row>
    <row r="828" spans="18:25" ht="15.75" customHeight="1">
      <c r="R828" s="14"/>
      <c r="X828" s="26"/>
      <c r="Y828" s="28"/>
    </row>
    <row r="829" spans="18:25" ht="15.75" customHeight="1">
      <c r="R829" s="14"/>
      <c r="X829" s="26"/>
      <c r="Y829" s="28"/>
    </row>
    <row r="830" spans="18:25" ht="15.75" customHeight="1">
      <c r="R830" s="14"/>
      <c r="X830" s="26"/>
      <c r="Y830" s="28"/>
    </row>
    <row r="831" spans="18:25" ht="15.75" customHeight="1">
      <c r="R831" s="14"/>
      <c r="X831" s="26"/>
      <c r="Y831" s="28"/>
    </row>
    <row r="832" spans="18:25" ht="15.75" customHeight="1">
      <c r="R832" s="14"/>
      <c r="X832" s="26"/>
      <c r="Y832" s="28"/>
    </row>
    <row r="833" spans="18:25" ht="15.75" customHeight="1">
      <c r="R833" s="14"/>
      <c r="X833" s="26"/>
      <c r="Y833" s="28"/>
    </row>
    <row r="834" spans="18:25" ht="15.75" customHeight="1">
      <c r="R834" s="14"/>
      <c r="X834" s="26"/>
      <c r="Y834" s="28"/>
    </row>
    <row r="835" spans="18:25" ht="15.75" customHeight="1">
      <c r="R835" s="14"/>
      <c r="X835" s="26"/>
      <c r="Y835" s="28"/>
    </row>
    <row r="836" spans="18:25" ht="15.75" customHeight="1">
      <c r="R836" s="14"/>
      <c r="X836" s="26"/>
      <c r="Y836" s="28"/>
    </row>
    <row r="837" spans="18:25" ht="15.75" customHeight="1">
      <c r="R837" s="14"/>
      <c r="X837" s="26"/>
      <c r="Y837" s="28"/>
    </row>
    <row r="838" spans="18:25" ht="15.75" customHeight="1">
      <c r="R838" s="14"/>
      <c r="X838" s="26"/>
      <c r="Y838" s="28"/>
    </row>
    <row r="839" spans="18:25" ht="15.75" customHeight="1">
      <c r="R839" s="14"/>
      <c r="X839" s="26"/>
      <c r="Y839" s="28"/>
    </row>
    <row r="840" spans="18:25" ht="15.75" customHeight="1">
      <c r="R840" s="14"/>
      <c r="X840" s="26"/>
      <c r="Y840" s="28"/>
    </row>
    <row r="841" spans="18:25" ht="15.75" customHeight="1">
      <c r="R841" s="14"/>
      <c r="X841" s="26"/>
      <c r="Y841" s="28"/>
    </row>
    <row r="842" spans="18:25" ht="15.75" customHeight="1">
      <c r="R842" s="14"/>
      <c r="X842" s="26"/>
      <c r="Y842" s="28"/>
    </row>
    <row r="843" spans="18:25" ht="15.75" customHeight="1">
      <c r="R843" s="14"/>
      <c r="X843" s="26"/>
      <c r="Y843" s="28"/>
    </row>
    <row r="844" spans="18:25" ht="15.75" customHeight="1">
      <c r="R844" s="14"/>
      <c r="X844" s="26"/>
      <c r="Y844" s="28"/>
    </row>
    <row r="845" spans="18:25" ht="15.75" customHeight="1">
      <c r="R845" s="14"/>
      <c r="X845" s="26"/>
      <c r="Y845" s="28"/>
    </row>
    <row r="846" spans="18:25" ht="15.75" customHeight="1">
      <c r="R846" s="14"/>
      <c r="X846" s="26"/>
      <c r="Y846" s="28"/>
    </row>
    <row r="847" spans="18:25" ht="15.75" customHeight="1">
      <c r="R847" s="14"/>
      <c r="X847" s="26"/>
      <c r="Y847" s="28"/>
    </row>
    <row r="848" spans="18:25" ht="15.75" customHeight="1">
      <c r="R848" s="14"/>
      <c r="X848" s="26"/>
      <c r="Y848" s="28"/>
    </row>
    <row r="849" spans="18:25" ht="15.75" customHeight="1">
      <c r="R849" s="14"/>
      <c r="X849" s="26"/>
      <c r="Y849" s="28"/>
    </row>
    <row r="850" spans="18:25" ht="15.75" customHeight="1">
      <c r="R850" s="14"/>
      <c r="X850" s="26"/>
      <c r="Y850" s="28"/>
    </row>
    <row r="851" spans="18:25" ht="15.75" customHeight="1">
      <c r="R851" s="14"/>
      <c r="X851" s="26"/>
      <c r="Y851" s="28"/>
    </row>
    <row r="852" spans="18:25" ht="15.75" customHeight="1">
      <c r="R852" s="14"/>
      <c r="X852" s="26"/>
      <c r="Y852" s="28"/>
    </row>
    <row r="853" spans="18:25" ht="15.75" customHeight="1">
      <c r="R853" s="14"/>
      <c r="X853" s="26"/>
      <c r="Y853" s="28"/>
    </row>
    <row r="854" spans="18:25" ht="15.75" customHeight="1">
      <c r="R854" s="14"/>
      <c r="X854" s="26"/>
      <c r="Y854" s="28"/>
    </row>
    <row r="855" spans="18:25" ht="15.75" customHeight="1">
      <c r="R855" s="14"/>
      <c r="X855" s="26"/>
      <c r="Y855" s="28"/>
    </row>
    <row r="856" spans="18:25" ht="15.75" customHeight="1">
      <c r="R856" s="14"/>
      <c r="X856" s="26"/>
      <c r="Y856" s="28"/>
    </row>
    <row r="857" spans="18:25" ht="15.75" customHeight="1">
      <c r="R857" s="14"/>
      <c r="X857" s="26"/>
      <c r="Y857" s="28"/>
    </row>
    <row r="858" spans="18:25" ht="15.75" customHeight="1">
      <c r="R858" s="14"/>
      <c r="X858" s="26"/>
      <c r="Y858" s="28"/>
    </row>
    <row r="859" spans="18:25" ht="15.75" customHeight="1">
      <c r="R859" s="14"/>
      <c r="X859" s="26"/>
      <c r="Y859" s="28"/>
    </row>
    <row r="860" spans="18:25" ht="15.75" customHeight="1">
      <c r="R860" s="14"/>
      <c r="X860" s="26"/>
      <c r="Y860" s="28"/>
    </row>
    <row r="861" spans="18:25" ht="15.75" customHeight="1">
      <c r="R861" s="14"/>
      <c r="X861" s="26"/>
      <c r="Y861" s="28"/>
    </row>
    <row r="862" spans="18:25" ht="15.75" customHeight="1">
      <c r="R862" s="14"/>
      <c r="X862" s="26"/>
      <c r="Y862" s="28"/>
    </row>
    <row r="863" spans="18:25" ht="15.75" customHeight="1">
      <c r="R863" s="14"/>
      <c r="X863" s="26"/>
      <c r="Y863" s="28"/>
    </row>
    <row r="864" spans="18:25" ht="15.75" customHeight="1">
      <c r="R864" s="14"/>
      <c r="X864" s="26"/>
      <c r="Y864" s="28"/>
    </row>
    <row r="865" spans="18:25" ht="15.75" customHeight="1">
      <c r="R865" s="14"/>
      <c r="X865" s="26"/>
      <c r="Y865" s="28"/>
    </row>
    <row r="866" spans="18:25" ht="15.75" customHeight="1">
      <c r="R866" s="14"/>
      <c r="X866" s="26"/>
      <c r="Y866" s="28"/>
    </row>
    <row r="867" spans="18:25" ht="15.75" customHeight="1">
      <c r="R867" s="14"/>
      <c r="X867" s="26"/>
      <c r="Y867" s="28"/>
    </row>
    <row r="868" spans="18:25" ht="15.75" customHeight="1">
      <c r="R868" s="14"/>
      <c r="X868" s="26"/>
      <c r="Y868" s="28"/>
    </row>
    <row r="869" spans="18:25" ht="15.75" customHeight="1">
      <c r="R869" s="14"/>
      <c r="X869" s="26"/>
      <c r="Y869" s="28"/>
    </row>
    <row r="870" spans="18:25" ht="15.75" customHeight="1">
      <c r="R870" s="14"/>
      <c r="X870" s="26"/>
      <c r="Y870" s="28"/>
    </row>
    <row r="871" spans="18:25" ht="15.75" customHeight="1">
      <c r="R871" s="14"/>
      <c r="X871" s="26"/>
      <c r="Y871" s="28"/>
    </row>
    <row r="872" spans="18:25" ht="15.75" customHeight="1">
      <c r="R872" s="14"/>
      <c r="X872" s="26"/>
      <c r="Y872" s="28"/>
    </row>
    <row r="873" spans="18:25" ht="15.75" customHeight="1">
      <c r="R873" s="14"/>
      <c r="X873" s="26"/>
      <c r="Y873" s="28"/>
    </row>
    <row r="874" spans="18:25" ht="15.75" customHeight="1">
      <c r="R874" s="14"/>
      <c r="X874" s="26"/>
      <c r="Y874" s="28"/>
    </row>
    <row r="875" spans="18:25" ht="15.75" customHeight="1">
      <c r="R875" s="14"/>
      <c r="X875" s="26"/>
      <c r="Y875" s="28"/>
    </row>
    <row r="876" spans="18:25" ht="15.75" customHeight="1">
      <c r="R876" s="14"/>
      <c r="X876" s="26"/>
      <c r="Y876" s="28"/>
    </row>
    <row r="877" spans="18:25" ht="15.75" customHeight="1">
      <c r="R877" s="14"/>
      <c r="X877" s="26"/>
      <c r="Y877" s="28"/>
    </row>
    <row r="878" spans="18:25" ht="15.75" customHeight="1">
      <c r="R878" s="14"/>
      <c r="X878" s="26"/>
      <c r="Y878" s="28"/>
    </row>
    <row r="879" spans="18:25" ht="15.75" customHeight="1">
      <c r="R879" s="14"/>
      <c r="X879" s="26"/>
      <c r="Y879" s="28"/>
    </row>
    <row r="880" spans="18:25" ht="15.75" customHeight="1">
      <c r="R880" s="14"/>
      <c r="X880" s="26"/>
      <c r="Y880" s="28"/>
    </row>
    <row r="881" spans="18:25" ht="15.75" customHeight="1">
      <c r="R881" s="14"/>
      <c r="X881" s="26"/>
      <c r="Y881" s="28"/>
    </row>
    <row r="882" spans="18:25" ht="15.75" customHeight="1">
      <c r="R882" s="14"/>
      <c r="X882" s="26"/>
      <c r="Y882" s="28"/>
    </row>
    <row r="883" spans="18:25" ht="15.75" customHeight="1">
      <c r="R883" s="14"/>
      <c r="X883" s="26"/>
      <c r="Y883" s="28"/>
    </row>
    <row r="884" spans="18:25" ht="15.75" customHeight="1">
      <c r="R884" s="14"/>
      <c r="X884" s="26"/>
      <c r="Y884" s="28"/>
    </row>
    <row r="885" spans="18:25" ht="15.75" customHeight="1">
      <c r="R885" s="14"/>
      <c r="X885" s="26"/>
      <c r="Y885" s="28"/>
    </row>
    <row r="886" spans="18:25" ht="15.75" customHeight="1">
      <c r="R886" s="14"/>
      <c r="X886" s="26"/>
      <c r="Y886" s="28"/>
    </row>
    <row r="887" spans="18:25" ht="15.75" customHeight="1">
      <c r="R887" s="14"/>
      <c r="X887" s="26"/>
      <c r="Y887" s="28"/>
    </row>
    <row r="888" spans="18:25" ht="15.75" customHeight="1">
      <c r="R888" s="14"/>
      <c r="X888" s="26"/>
      <c r="Y888" s="28"/>
    </row>
    <row r="889" spans="18:25" ht="15.75" customHeight="1">
      <c r="R889" s="14"/>
      <c r="X889" s="26"/>
      <c r="Y889" s="28"/>
    </row>
    <row r="890" spans="18:25" ht="15.75" customHeight="1">
      <c r="R890" s="14"/>
      <c r="X890" s="26"/>
      <c r="Y890" s="28"/>
    </row>
    <row r="891" spans="18:25" ht="15.75" customHeight="1">
      <c r="R891" s="14"/>
      <c r="X891" s="26"/>
      <c r="Y891" s="28"/>
    </row>
    <row r="892" spans="18:25" ht="15.75" customHeight="1">
      <c r="R892" s="14"/>
      <c r="X892" s="26"/>
      <c r="Y892" s="28"/>
    </row>
    <row r="893" spans="18:25" ht="15.75" customHeight="1">
      <c r="R893" s="14"/>
      <c r="X893" s="26"/>
      <c r="Y893" s="28"/>
    </row>
    <row r="894" spans="18:25" ht="15.75" customHeight="1">
      <c r="R894" s="14"/>
      <c r="X894" s="26"/>
      <c r="Y894" s="28"/>
    </row>
    <row r="895" spans="18:25" ht="15.75" customHeight="1">
      <c r="R895" s="14"/>
      <c r="X895" s="26"/>
      <c r="Y895" s="28"/>
    </row>
    <row r="896" spans="18:25" ht="15.75" customHeight="1">
      <c r="R896" s="14"/>
      <c r="X896" s="26"/>
      <c r="Y896" s="28"/>
    </row>
    <row r="897" spans="18:25" ht="15.75" customHeight="1">
      <c r="R897" s="14"/>
      <c r="X897" s="26"/>
      <c r="Y897" s="28"/>
    </row>
    <row r="898" spans="18:25" ht="15.75" customHeight="1">
      <c r="R898" s="14"/>
      <c r="X898" s="26"/>
      <c r="Y898" s="28"/>
    </row>
    <row r="899" spans="18:25" ht="15.75" customHeight="1">
      <c r="R899" s="14"/>
      <c r="X899" s="26"/>
      <c r="Y899" s="28"/>
    </row>
    <row r="900" spans="18:25" ht="15.75" customHeight="1">
      <c r="R900" s="14"/>
      <c r="X900" s="26"/>
      <c r="Y900" s="28"/>
    </row>
    <row r="901" spans="18:25" ht="15.75" customHeight="1">
      <c r="R901" s="14"/>
      <c r="X901" s="26"/>
      <c r="Y901" s="28"/>
    </row>
    <row r="902" spans="18:25" ht="15.75" customHeight="1">
      <c r="R902" s="14"/>
      <c r="X902" s="26"/>
      <c r="Y902" s="28"/>
    </row>
    <row r="903" spans="18:25" ht="15.75" customHeight="1">
      <c r="R903" s="14"/>
      <c r="X903" s="26"/>
      <c r="Y903" s="28"/>
    </row>
    <row r="904" spans="18:25" ht="15.75" customHeight="1">
      <c r="R904" s="14"/>
      <c r="X904" s="26"/>
      <c r="Y904" s="28"/>
    </row>
    <row r="905" spans="18:25" ht="15.75" customHeight="1">
      <c r="R905" s="14"/>
      <c r="X905" s="26"/>
      <c r="Y905" s="28"/>
    </row>
    <row r="906" spans="18:25" ht="15.75" customHeight="1">
      <c r="R906" s="14"/>
      <c r="X906" s="26"/>
      <c r="Y906" s="28"/>
    </row>
    <row r="907" spans="18:25" ht="15.75" customHeight="1">
      <c r="R907" s="14"/>
      <c r="X907" s="26"/>
      <c r="Y907" s="28"/>
    </row>
    <row r="908" spans="18:25" ht="15.75" customHeight="1">
      <c r="R908" s="14"/>
      <c r="X908" s="26"/>
      <c r="Y908" s="28"/>
    </row>
    <row r="909" spans="18:25" ht="15.75" customHeight="1">
      <c r="R909" s="14"/>
      <c r="X909" s="26"/>
      <c r="Y909" s="28"/>
    </row>
    <row r="910" spans="18:25" ht="15.75" customHeight="1">
      <c r="R910" s="14"/>
      <c r="X910" s="26"/>
      <c r="Y910" s="28"/>
    </row>
    <row r="911" spans="18:25" ht="15.75" customHeight="1">
      <c r="R911" s="14"/>
      <c r="X911" s="26"/>
      <c r="Y911" s="28"/>
    </row>
    <row r="912" spans="18:25" ht="15.75" customHeight="1">
      <c r="R912" s="14"/>
      <c r="X912" s="26"/>
      <c r="Y912" s="28"/>
    </row>
    <row r="913" spans="18:25" ht="15.75" customHeight="1">
      <c r="R913" s="14"/>
      <c r="X913" s="26"/>
      <c r="Y913" s="28"/>
    </row>
    <row r="914" spans="18:25" ht="15.75" customHeight="1">
      <c r="R914" s="14"/>
      <c r="X914" s="26"/>
      <c r="Y914" s="28"/>
    </row>
    <row r="915" spans="18:25" ht="15.75" customHeight="1">
      <c r="R915" s="14"/>
      <c r="X915" s="26"/>
      <c r="Y915" s="28"/>
    </row>
    <row r="916" spans="18:25" ht="15.75" customHeight="1">
      <c r="R916" s="14"/>
      <c r="X916" s="26"/>
      <c r="Y916" s="28"/>
    </row>
    <row r="917" spans="18:25" ht="15.75" customHeight="1">
      <c r="R917" s="14"/>
      <c r="X917" s="26"/>
      <c r="Y917" s="28"/>
    </row>
    <row r="918" spans="18:25" ht="15.75" customHeight="1">
      <c r="R918" s="14"/>
      <c r="X918" s="26"/>
      <c r="Y918" s="28"/>
    </row>
    <row r="919" spans="18:25" ht="15.75" customHeight="1">
      <c r="R919" s="14"/>
      <c r="X919" s="26"/>
      <c r="Y919" s="28"/>
    </row>
    <row r="920" spans="18:25" ht="15.75" customHeight="1">
      <c r="R920" s="14"/>
      <c r="X920" s="26"/>
      <c r="Y920" s="28"/>
    </row>
    <row r="921" spans="18:25" ht="15.75" customHeight="1">
      <c r="R921" s="14"/>
      <c r="X921" s="26"/>
      <c r="Y921" s="28"/>
    </row>
    <row r="922" spans="18:25" ht="15.75" customHeight="1">
      <c r="R922" s="14"/>
      <c r="X922" s="26"/>
      <c r="Y922" s="28"/>
    </row>
    <row r="923" spans="18:25" ht="15.75" customHeight="1">
      <c r="R923" s="14"/>
      <c r="X923" s="26"/>
      <c r="Y923" s="28"/>
    </row>
    <row r="924" spans="18:25" ht="15.75" customHeight="1">
      <c r="R924" s="14"/>
      <c r="X924" s="26"/>
      <c r="Y924" s="28"/>
    </row>
    <row r="925" spans="18:25" ht="15.75" customHeight="1">
      <c r="R925" s="14"/>
      <c r="X925" s="26"/>
      <c r="Y925" s="28"/>
    </row>
    <row r="926" spans="18:25" ht="15.75" customHeight="1">
      <c r="R926" s="14"/>
      <c r="X926" s="26"/>
      <c r="Y926" s="28"/>
    </row>
    <row r="927" spans="18:25" ht="15.75" customHeight="1">
      <c r="R927" s="14"/>
      <c r="X927" s="26"/>
      <c r="Y927" s="28"/>
    </row>
    <row r="928" spans="18:25" ht="15.75" customHeight="1">
      <c r="R928" s="14"/>
      <c r="X928" s="26"/>
      <c r="Y928" s="28"/>
    </row>
    <row r="929" spans="18:25" ht="15.75" customHeight="1">
      <c r="R929" s="14"/>
      <c r="X929" s="26"/>
      <c r="Y929" s="28"/>
    </row>
    <row r="930" spans="18:25" ht="15.75" customHeight="1">
      <c r="R930" s="14"/>
      <c r="X930" s="26"/>
      <c r="Y930" s="28"/>
    </row>
    <row r="931" spans="18:25" ht="15.75" customHeight="1">
      <c r="R931" s="14"/>
      <c r="X931" s="26"/>
      <c r="Y931" s="28"/>
    </row>
    <row r="932" spans="18:25" ht="15.75" customHeight="1">
      <c r="R932" s="14"/>
      <c r="X932" s="26"/>
      <c r="Y932" s="28"/>
    </row>
    <row r="933" spans="18:25" ht="15.75" customHeight="1">
      <c r="R933" s="14"/>
      <c r="X933" s="26"/>
      <c r="Y933" s="28"/>
    </row>
    <row r="934" spans="18:25" ht="15.75" customHeight="1">
      <c r="R934" s="14"/>
      <c r="X934" s="26"/>
      <c r="Y934" s="28"/>
    </row>
    <row r="935" spans="18:25" ht="15.75" customHeight="1">
      <c r="R935" s="14"/>
      <c r="X935" s="26"/>
      <c r="Y935" s="28"/>
    </row>
    <row r="936" spans="18:25" ht="15.75" customHeight="1">
      <c r="R936" s="14"/>
      <c r="X936" s="26"/>
      <c r="Y936" s="28"/>
    </row>
    <row r="937" spans="18:25" ht="15.75" customHeight="1">
      <c r="R937" s="14"/>
      <c r="X937" s="26"/>
      <c r="Y937" s="28"/>
    </row>
    <row r="938" spans="18:25" ht="15.75" customHeight="1">
      <c r="R938" s="14"/>
      <c r="X938" s="26"/>
      <c r="Y938" s="28"/>
    </row>
    <row r="939" spans="18:25" ht="15.75" customHeight="1">
      <c r="R939" s="14"/>
      <c r="X939" s="26"/>
      <c r="Y939" s="28"/>
    </row>
    <row r="940" spans="18:25" ht="15.75" customHeight="1">
      <c r="R940" s="14"/>
      <c r="X940" s="26"/>
      <c r="Y940" s="28"/>
    </row>
    <row r="941" spans="18:25" ht="15.75" customHeight="1">
      <c r="R941" s="14"/>
      <c r="X941" s="26"/>
      <c r="Y941" s="28"/>
    </row>
    <row r="942" spans="18:25" ht="15.75" customHeight="1">
      <c r="R942" s="14"/>
      <c r="X942" s="26"/>
      <c r="Y942" s="28"/>
    </row>
    <row r="943" spans="18:25" ht="15.75" customHeight="1">
      <c r="R943" s="14"/>
      <c r="X943" s="26"/>
      <c r="Y943" s="28"/>
    </row>
    <row r="944" spans="18:25" ht="15.75" customHeight="1">
      <c r="R944" s="14"/>
      <c r="X944" s="26"/>
      <c r="Y944" s="28"/>
    </row>
    <row r="945" spans="18:25" ht="15.75" customHeight="1">
      <c r="R945" s="14"/>
      <c r="X945" s="26"/>
      <c r="Y945" s="28"/>
    </row>
    <row r="946" spans="18:25" ht="15.75" customHeight="1">
      <c r="R946" s="14"/>
      <c r="X946" s="26"/>
      <c r="Y946" s="28"/>
    </row>
    <row r="947" spans="18:25" ht="15.75" customHeight="1">
      <c r="R947" s="14"/>
      <c r="X947" s="26"/>
      <c r="Y947" s="28"/>
    </row>
    <row r="948" spans="18:25" ht="15.75" customHeight="1">
      <c r="R948" s="14"/>
      <c r="X948" s="26"/>
      <c r="Y948" s="28"/>
    </row>
    <row r="949" spans="18:25" ht="15.75" customHeight="1">
      <c r="R949" s="14"/>
      <c r="X949" s="26"/>
      <c r="Y949" s="28"/>
    </row>
    <row r="950" spans="18:25" ht="15.75" customHeight="1">
      <c r="R950" s="14"/>
      <c r="X950" s="26"/>
      <c r="Y950" s="28"/>
    </row>
    <row r="951" spans="18:25" ht="15.75" customHeight="1">
      <c r="R951" s="14"/>
      <c r="X951" s="26"/>
      <c r="Y951" s="28"/>
    </row>
    <row r="952" spans="18:25" ht="15.75" customHeight="1">
      <c r="R952" s="14"/>
      <c r="X952" s="26"/>
      <c r="Y952" s="28"/>
    </row>
    <row r="953" spans="18:25" ht="15.75" customHeight="1">
      <c r="R953" s="14"/>
      <c r="X953" s="26"/>
      <c r="Y953" s="28"/>
    </row>
    <row r="954" spans="18:25" ht="15.75" customHeight="1">
      <c r="R954" s="14"/>
      <c r="X954" s="26"/>
      <c r="Y954" s="28"/>
    </row>
    <row r="955" spans="18:25" ht="15.75" customHeight="1">
      <c r="R955" s="14"/>
      <c r="X955" s="26"/>
      <c r="Y955" s="28"/>
    </row>
    <row r="956" spans="18:25" ht="15.75" customHeight="1">
      <c r="R956" s="14"/>
      <c r="X956" s="26"/>
      <c r="Y956" s="28"/>
    </row>
    <row r="957" spans="18:25" ht="15.75" customHeight="1">
      <c r="R957" s="14"/>
      <c r="X957" s="26"/>
      <c r="Y957" s="28"/>
    </row>
    <row r="958" spans="18:25" ht="15.75" customHeight="1">
      <c r="R958" s="14"/>
      <c r="X958" s="26"/>
      <c r="Y958" s="28"/>
    </row>
    <row r="959" spans="18:25" ht="15.75" customHeight="1">
      <c r="R959" s="14"/>
      <c r="X959" s="26"/>
      <c r="Y959" s="28"/>
    </row>
    <row r="960" spans="18:25" ht="15.75" customHeight="1">
      <c r="R960" s="14"/>
      <c r="X960" s="26"/>
      <c r="Y960" s="28"/>
    </row>
    <row r="961" spans="18:25" ht="15.75" customHeight="1">
      <c r="R961" s="14"/>
      <c r="X961" s="26"/>
      <c r="Y961" s="28"/>
    </row>
    <row r="962" spans="18:25" ht="15.75" customHeight="1">
      <c r="R962" s="14"/>
      <c r="X962" s="26"/>
      <c r="Y962" s="28"/>
    </row>
    <row r="963" spans="18:25" ht="15.75" customHeight="1">
      <c r="R963" s="14"/>
      <c r="X963" s="26"/>
      <c r="Y963" s="28"/>
    </row>
    <row r="964" spans="18:25" ht="15.75" customHeight="1">
      <c r="R964" s="14"/>
      <c r="X964" s="26"/>
      <c r="Y964" s="28"/>
    </row>
    <row r="965" spans="18:25" ht="15.75" customHeight="1">
      <c r="R965" s="14"/>
      <c r="X965" s="26"/>
      <c r="Y965" s="28"/>
    </row>
    <row r="966" spans="18:25" ht="15.75" customHeight="1">
      <c r="R966" s="14"/>
      <c r="X966" s="26"/>
      <c r="Y966" s="28"/>
    </row>
    <row r="967" spans="18:25" ht="15.75" customHeight="1">
      <c r="R967" s="14"/>
      <c r="X967" s="26"/>
      <c r="Y967" s="28"/>
    </row>
    <row r="968" spans="18:25" ht="15.75" customHeight="1">
      <c r="R968" s="14"/>
      <c r="X968" s="26"/>
      <c r="Y968" s="28"/>
    </row>
    <row r="969" spans="18:25" ht="15.75" customHeight="1">
      <c r="R969" s="14"/>
      <c r="X969" s="26"/>
      <c r="Y969" s="28"/>
    </row>
    <row r="970" spans="18:25" ht="15.75" customHeight="1">
      <c r="R970" s="14"/>
      <c r="X970" s="26"/>
      <c r="Y970" s="28"/>
    </row>
    <row r="971" spans="18:25" ht="15.75" customHeight="1">
      <c r="R971" s="14"/>
      <c r="X971" s="26"/>
      <c r="Y971" s="28"/>
    </row>
    <row r="972" spans="18:25" ht="15.75" customHeight="1">
      <c r="R972" s="14"/>
      <c r="X972" s="26"/>
      <c r="Y972" s="28"/>
    </row>
    <row r="973" spans="18:25" ht="15.75" customHeight="1">
      <c r="R973" s="14"/>
      <c r="X973" s="26"/>
      <c r="Y973" s="28"/>
    </row>
    <row r="974" spans="18:25" ht="15.75" customHeight="1">
      <c r="R974" s="14"/>
      <c r="X974" s="26"/>
      <c r="Y974" s="28"/>
    </row>
    <row r="975" spans="18:25" ht="15.75" customHeight="1">
      <c r="R975" s="14"/>
      <c r="X975" s="26"/>
      <c r="Y975" s="28"/>
    </row>
    <row r="976" spans="18:25" ht="15.75" customHeight="1">
      <c r="R976" s="14"/>
      <c r="X976" s="26"/>
      <c r="Y976" s="28"/>
    </row>
    <row r="977" spans="18:25" ht="15.75" customHeight="1">
      <c r="R977" s="14"/>
      <c r="X977" s="26"/>
      <c r="Y977" s="28"/>
    </row>
    <row r="978" spans="18:25" ht="15.75" customHeight="1">
      <c r="R978" s="14"/>
      <c r="X978" s="26"/>
      <c r="Y978" s="28"/>
    </row>
    <row r="979" spans="18:25" ht="15.75" customHeight="1">
      <c r="R979" s="14"/>
      <c r="X979" s="26"/>
      <c r="Y979" s="28"/>
    </row>
    <row r="980" spans="18:25" ht="15.75" customHeight="1">
      <c r="R980" s="14"/>
      <c r="X980" s="26"/>
      <c r="Y980" s="28"/>
    </row>
    <row r="981" spans="18:25" ht="15.75" customHeight="1">
      <c r="R981" s="14"/>
      <c r="X981" s="26"/>
      <c r="Y981" s="28"/>
    </row>
    <row r="982" spans="18:25" ht="15.75" customHeight="1">
      <c r="R982" s="14"/>
      <c r="X982" s="26"/>
      <c r="Y982" s="28"/>
    </row>
    <row r="983" spans="18:25" ht="15.75" customHeight="1">
      <c r="R983" s="14"/>
      <c r="X983" s="26"/>
      <c r="Y983" s="28"/>
    </row>
    <row r="984" spans="18:25" ht="15.75" customHeight="1">
      <c r="R984" s="14"/>
      <c r="X984" s="26"/>
      <c r="Y984" s="28"/>
    </row>
    <row r="985" spans="18:25" ht="15.75" customHeight="1">
      <c r="R985" s="14"/>
      <c r="X985" s="26"/>
      <c r="Y985" s="28"/>
    </row>
    <row r="986" spans="18:25" ht="15.75" customHeight="1">
      <c r="R986" s="14"/>
      <c r="X986" s="26"/>
      <c r="Y986" s="28"/>
    </row>
    <row r="987" spans="18:25" ht="15.75" customHeight="1">
      <c r="R987" s="14"/>
      <c r="X987" s="26"/>
      <c r="Y987" s="28"/>
    </row>
    <row r="988" spans="18:25" ht="15.75" customHeight="1">
      <c r="R988" s="14"/>
      <c r="X988" s="26"/>
      <c r="Y988" s="28"/>
    </row>
    <row r="989" spans="18:25" ht="15.75" customHeight="1">
      <c r="R989" s="14"/>
      <c r="X989" s="26"/>
      <c r="Y989" s="28"/>
    </row>
    <row r="990" spans="18:25" ht="15.75" customHeight="1">
      <c r="R990" s="14"/>
      <c r="X990" s="26"/>
      <c r="Y990" s="28"/>
    </row>
    <row r="991" spans="18:25" ht="15.75" customHeight="1">
      <c r="R991" s="14"/>
      <c r="X991" s="26"/>
      <c r="Y991" s="28"/>
    </row>
    <row r="992" spans="18:25" ht="15.75" customHeight="1">
      <c r="R992" s="14"/>
      <c r="X992" s="26"/>
      <c r="Y992" s="28"/>
    </row>
    <row r="993" spans="18:25" ht="15.75" customHeight="1">
      <c r="R993" s="14"/>
      <c r="X993" s="26"/>
      <c r="Y993" s="28"/>
    </row>
    <row r="994" spans="18:25" ht="15.75" customHeight="1">
      <c r="R994" s="14"/>
      <c r="X994" s="26"/>
      <c r="Y994" s="28"/>
    </row>
    <row r="995" spans="18:25" ht="15.75" customHeight="1">
      <c r="R995" s="14"/>
      <c r="X995" s="26"/>
      <c r="Y995" s="28"/>
    </row>
    <row r="996" spans="18:25" ht="15.75" customHeight="1">
      <c r="R996" s="14"/>
      <c r="X996" s="26"/>
      <c r="Y996" s="28"/>
    </row>
    <row r="997" spans="18:25" ht="15.75" customHeight="1">
      <c r="R997" s="14"/>
      <c r="X997" s="26"/>
      <c r="Y997" s="28"/>
    </row>
    <row r="998" spans="18:25" ht="15.75" customHeight="1">
      <c r="R998" s="14"/>
      <c r="X998" s="26"/>
      <c r="Y998" s="28"/>
    </row>
    <row r="999" spans="18:25" ht="15.75" customHeight="1">
      <c r="R999" s="14"/>
      <c r="X999" s="26"/>
      <c r="Y999" s="28"/>
    </row>
    <row r="1000" spans="18:25" ht="15.75" customHeight="1">
      <c r="R1000" s="14"/>
      <c r="X1000" s="26"/>
      <c r="Y1000" s="28"/>
    </row>
    <row r="1001" spans="18:25" ht="15.75" customHeight="1">
      <c r="R1001" s="14"/>
      <c r="X1001" s="26"/>
      <c r="Y1001" s="28"/>
    </row>
    <row r="1002" spans="18:25" ht="15.75" customHeight="1">
      <c r="R1002" s="14"/>
      <c r="X1002" s="26"/>
      <c r="Y1002" s="28"/>
    </row>
    <row r="1003" spans="18:25" ht="15.75" customHeight="1">
      <c r="R1003" s="14"/>
      <c r="X1003" s="26"/>
      <c r="Y1003" s="28"/>
    </row>
    <row r="1004" spans="18:25" ht="15.75" customHeight="1">
      <c r="R1004" s="14"/>
      <c r="X1004" s="26"/>
      <c r="Y1004" s="28"/>
    </row>
    <row r="1005" spans="18:25" ht="15.75" customHeight="1">
      <c r="R1005" s="14"/>
      <c r="X1005" s="26"/>
      <c r="Y1005" s="28"/>
    </row>
    <row r="1006" spans="18:25" ht="15.75" customHeight="1">
      <c r="R1006" s="14"/>
      <c r="X1006" s="26"/>
      <c r="Y1006" s="28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tabSelected="1" workbookViewId="0">
      <pane xSplit="5" ySplit="1" topLeftCell="H2" activePane="bottomRight" state="frozen"/>
      <selection pane="topRight" activeCell="F1" sqref="F1"/>
      <selection pane="bottomLeft" activeCell="A2" sqref="A2"/>
      <selection pane="bottomRight" activeCell="R15" sqref="R15"/>
    </sheetView>
  </sheetViews>
  <sheetFormatPr baseColWidth="10" defaultColWidth="14.5" defaultRowHeight="15.75" customHeight="1" x14ac:dyDescent="0"/>
  <sheetData>
    <row r="1" spans="1:22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7</v>
      </c>
      <c r="H1" s="3"/>
      <c r="I1" s="3" t="s">
        <v>8</v>
      </c>
      <c r="J1" s="3" t="s">
        <v>9</v>
      </c>
      <c r="K1" s="3" t="s">
        <v>10</v>
      </c>
      <c r="L1" s="3" t="s">
        <v>11</v>
      </c>
      <c r="M1" s="4" t="s">
        <v>12</v>
      </c>
      <c r="N1" s="4" t="s">
        <v>13</v>
      </c>
      <c r="O1" s="5" t="s">
        <v>17</v>
      </c>
      <c r="P1" s="1" t="s">
        <v>18</v>
      </c>
      <c r="Q1" s="1" t="s">
        <v>19</v>
      </c>
      <c r="R1" s="1" t="s">
        <v>20</v>
      </c>
      <c r="S1" s="1" t="s">
        <v>21</v>
      </c>
      <c r="T1" s="7" t="s">
        <v>23</v>
      </c>
      <c r="U1" s="9" t="s">
        <v>28</v>
      </c>
    </row>
    <row r="2" spans="1:22" ht="15.75" customHeight="1">
      <c r="A2" s="6">
        <v>113</v>
      </c>
      <c r="B2" s="6">
        <v>50</v>
      </c>
      <c r="C2" s="6">
        <v>50</v>
      </c>
      <c r="D2" s="6">
        <v>50</v>
      </c>
      <c r="E2" s="6">
        <v>50</v>
      </c>
      <c r="F2" s="6">
        <v>2</v>
      </c>
      <c r="G2" s="6">
        <v>4</v>
      </c>
      <c r="H2" s="10"/>
      <c r="I2" s="12">
        <v>18</v>
      </c>
      <c r="J2" s="12">
        <v>1</v>
      </c>
      <c r="K2" s="12">
        <v>6</v>
      </c>
      <c r="L2" s="12">
        <v>0</v>
      </c>
      <c r="M2" s="6">
        <v>91</v>
      </c>
      <c r="N2" s="6">
        <v>124</v>
      </c>
      <c r="O2" s="21">
        <f t="shared" ref="O2:O6" si="0">AVERAGE(M2:N2)</f>
        <v>107.5</v>
      </c>
      <c r="P2">
        <f>120+42</f>
        <v>162</v>
      </c>
      <c r="Q2" s="6">
        <v>90</v>
      </c>
      <c r="R2" s="6">
        <v>109</v>
      </c>
      <c r="S2" s="6">
        <v>121</v>
      </c>
      <c r="T2">
        <f t="shared" ref="T2:T6" si="1">AVERAGE(P2:S2)</f>
        <v>120.5</v>
      </c>
      <c r="U2" s="6">
        <v>330</v>
      </c>
    </row>
    <row r="3" spans="1:22" ht="15.75" customHeight="1">
      <c r="A3" s="6">
        <v>114</v>
      </c>
      <c r="B3" s="6">
        <v>40</v>
      </c>
      <c r="C3" s="6">
        <v>60</v>
      </c>
      <c r="D3" s="6">
        <v>40</v>
      </c>
      <c r="E3" s="6">
        <v>60</v>
      </c>
      <c r="F3" s="6">
        <v>2</v>
      </c>
      <c r="G3" s="6">
        <v>4</v>
      </c>
      <c r="I3" s="12">
        <v>18</v>
      </c>
      <c r="J3" s="12">
        <v>1</v>
      </c>
      <c r="K3" s="12">
        <v>6</v>
      </c>
      <c r="L3" s="12">
        <v>0</v>
      </c>
      <c r="M3" s="6">
        <v>133</v>
      </c>
      <c r="N3" s="6">
        <v>194</v>
      </c>
      <c r="O3" s="21">
        <f t="shared" si="0"/>
        <v>163.5</v>
      </c>
      <c r="P3">
        <f>120+38</f>
        <v>158</v>
      </c>
      <c r="Q3">
        <f>120+49</f>
        <v>169</v>
      </c>
      <c r="R3" s="6">
        <v>184</v>
      </c>
      <c r="S3" s="6">
        <v>134</v>
      </c>
      <c r="T3">
        <f t="shared" si="1"/>
        <v>161.25</v>
      </c>
      <c r="U3" s="6">
        <v>345</v>
      </c>
    </row>
    <row r="4" spans="1:22" ht="15.75" customHeight="1">
      <c r="A4" s="6">
        <v>115</v>
      </c>
      <c r="B4" s="1">
        <v>30</v>
      </c>
      <c r="C4" s="1">
        <v>70</v>
      </c>
      <c r="D4" s="6">
        <v>30</v>
      </c>
      <c r="E4" s="6">
        <v>70</v>
      </c>
      <c r="F4" s="6">
        <v>2</v>
      </c>
      <c r="G4" s="6">
        <v>4</v>
      </c>
      <c r="I4" s="12">
        <v>18</v>
      </c>
      <c r="J4" s="12">
        <v>1</v>
      </c>
      <c r="K4" s="12">
        <v>6</v>
      </c>
      <c r="L4" s="12">
        <v>0</v>
      </c>
      <c r="M4" s="6">
        <v>113</v>
      </c>
      <c r="N4" s="6">
        <v>240</v>
      </c>
      <c r="O4" s="21">
        <f t="shared" si="0"/>
        <v>176.5</v>
      </c>
      <c r="P4" s="6">
        <v>152</v>
      </c>
      <c r="Q4" s="6">
        <v>114</v>
      </c>
      <c r="R4" s="6">
        <v>161</v>
      </c>
      <c r="S4" s="6">
        <v>131</v>
      </c>
      <c r="T4">
        <f t="shared" si="1"/>
        <v>139.5</v>
      </c>
      <c r="U4" s="6">
        <v>351</v>
      </c>
    </row>
    <row r="5" spans="1:22" ht="15.75" customHeight="1">
      <c r="A5" s="1">
        <v>116</v>
      </c>
      <c r="B5" s="1">
        <v>20</v>
      </c>
      <c r="C5" s="1">
        <v>80</v>
      </c>
      <c r="D5" s="1">
        <v>20</v>
      </c>
      <c r="E5" s="1">
        <v>80</v>
      </c>
      <c r="F5" s="1">
        <v>2</v>
      </c>
      <c r="G5" s="1">
        <v>4</v>
      </c>
      <c r="H5" s="17"/>
      <c r="I5" s="20">
        <v>18</v>
      </c>
      <c r="J5" s="20">
        <v>1</v>
      </c>
      <c r="K5" s="20">
        <v>6</v>
      </c>
      <c r="L5" s="20">
        <v>0</v>
      </c>
      <c r="M5" s="21">
        <f>120+47</f>
        <v>167</v>
      </c>
      <c r="N5" s="1">
        <v>305</v>
      </c>
      <c r="O5" s="21">
        <f t="shared" si="0"/>
        <v>236</v>
      </c>
      <c r="P5" s="1">
        <v>99</v>
      </c>
      <c r="Q5" s="1">
        <v>93</v>
      </c>
      <c r="R5" s="1">
        <v>150</v>
      </c>
      <c r="S5" s="1">
        <v>110</v>
      </c>
      <c r="T5" s="21">
        <f t="shared" si="1"/>
        <v>113</v>
      </c>
      <c r="U5" s="1">
        <v>299</v>
      </c>
      <c r="V5" s="17"/>
    </row>
    <row r="6" spans="1:22" ht="15.75" customHeight="1">
      <c r="A6" s="6">
        <v>118</v>
      </c>
      <c r="B6" s="6">
        <v>10</v>
      </c>
      <c r="C6" s="6">
        <v>90</v>
      </c>
      <c r="D6" s="6">
        <v>10</v>
      </c>
      <c r="E6" s="6">
        <v>90</v>
      </c>
      <c r="F6" s="6">
        <v>2</v>
      </c>
      <c r="G6" s="6">
        <v>4</v>
      </c>
      <c r="I6" s="12">
        <v>18</v>
      </c>
      <c r="J6" s="12">
        <v>1</v>
      </c>
      <c r="K6" s="12">
        <v>6</v>
      </c>
      <c r="L6" s="12">
        <v>0</v>
      </c>
      <c r="M6" s="43">
        <v>500</v>
      </c>
      <c r="N6" s="43">
        <v>500</v>
      </c>
      <c r="O6" s="21">
        <f t="shared" si="0"/>
        <v>500</v>
      </c>
      <c r="P6" s="6">
        <v>105</v>
      </c>
      <c r="Q6" s="6">
        <v>73</v>
      </c>
      <c r="R6" s="6">
        <v>92</v>
      </c>
      <c r="S6" s="6">
        <v>88</v>
      </c>
      <c r="T6">
        <f t="shared" si="1"/>
        <v>89.5</v>
      </c>
      <c r="U6" s="43">
        <v>500</v>
      </c>
      <c r="V6" s="51" t="s">
        <v>80</v>
      </c>
    </row>
    <row r="7" spans="1:22" ht="15.75" customHeight="1">
      <c r="M7" s="27" t="s">
        <v>41</v>
      </c>
      <c r="N7" s="27" t="s">
        <v>41</v>
      </c>
      <c r="O7" s="27" t="s">
        <v>44</v>
      </c>
      <c r="U7" t="s">
        <v>41</v>
      </c>
    </row>
    <row r="8" spans="1:22" ht="15.75" customHeight="1">
      <c r="A8" s="6" t="s">
        <v>45</v>
      </c>
    </row>
    <row r="9" spans="1:22" ht="15.75" customHeight="1">
      <c r="A9" s="6">
        <v>129</v>
      </c>
      <c r="B9" s="6">
        <v>50</v>
      </c>
      <c r="C9" s="6">
        <v>50</v>
      </c>
      <c r="D9" s="6">
        <v>50</v>
      </c>
      <c r="E9" s="6">
        <v>60</v>
      </c>
      <c r="F9" s="6">
        <v>2</v>
      </c>
      <c r="G9" s="6">
        <v>4</v>
      </c>
      <c r="H9" s="25" t="s">
        <v>46</v>
      </c>
      <c r="M9" s="6">
        <v>93</v>
      </c>
      <c r="N9" s="6">
        <v>139</v>
      </c>
      <c r="O9">
        <f>AVERAGE(M9:N9)</f>
        <v>116</v>
      </c>
      <c r="P9" s="6">
        <v>137</v>
      </c>
      <c r="Q9" s="6">
        <v>187</v>
      </c>
      <c r="R9" s="6">
        <v>134</v>
      </c>
      <c r="S9" s="6">
        <v>119</v>
      </c>
      <c r="T9">
        <f t="shared" ref="T9:T12" si="2">AVERAGE(P9:S9)</f>
        <v>144.25</v>
      </c>
      <c r="U9" s="6">
        <v>337</v>
      </c>
    </row>
    <row r="10" spans="1:22" ht="15.75" customHeight="1">
      <c r="A10" s="12">
        <v>141</v>
      </c>
      <c r="B10" s="6">
        <v>50</v>
      </c>
      <c r="C10" s="6">
        <v>50</v>
      </c>
      <c r="D10" s="6">
        <v>50</v>
      </c>
      <c r="E10" s="6">
        <v>70</v>
      </c>
      <c r="F10" s="6">
        <v>2</v>
      </c>
      <c r="G10" s="6">
        <v>4</v>
      </c>
      <c r="H10" s="25" t="s">
        <v>48</v>
      </c>
      <c r="K10" s="6" t="s">
        <v>49</v>
      </c>
      <c r="M10" s="6">
        <v>95</v>
      </c>
      <c r="N10" s="6">
        <v>190</v>
      </c>
      <c r="O10">
        <f>AVERAGE(M10:N10)</f>
        <v>142.5</v>
      </c>
      <c r="P10" s="6">
        <v>118</v>
      </c>
      <c r="Q10">
        <f>180+41</f>
        <v>221</v>
      </c>
      <c r="R10" s="6">
        <v>117</v>
      </c>
      <c r="S10" s="6">
        <v>87</v>
      </c>
      <c r="T10">
        <f t="shared" si="2"/>
        <v>135.75</v>
      </c>
      <c r="U10" s="6">
        <v>343</v>
      </c>
    </row>
    <row r="11" spans="1:22" ht="15.75" customHeight="1">
      <c r="A11" s="6">
        <v>133</v>
      </c>
      <c r="B11" s="6">
        <v>40</v>
      </c>
      <c r="C11" s="6">
        <v>60</v>
      </c>
      <c r="D11" s="6">
        <v>40</v>
      </c>
      <c r="E11" s="6">
        <v>70</v>
      </c>
      <c r="F11" s="6">
        <v>2</v>
      </c>
      <c r="G11" s="6">
        <v>4</v>
      </c>
      <c r="H11" s="25" t="s">
        <v>50</v>
      </c>
      <c r="K11" s="6"/>
      <c r="M11" s="6">
        <v>111</v>
      </c>
      <c r="N11" s="6">
        <v>197</v>
      </c>
      <c r="O11">
        <f>AVERAGE(M11:N11)</f>
        <v>154</v>
      </c>
      <c r="P11" s="6">
        <v>109</v>
      </c>
      <c r="Q11" s="6">
        <v>204</v>
      </c>
      <c r="R11" s="6">
        <v>121</v>
      </c>
      <c r="S11" s="6">
        <v>94</v>
      </c>
      <c r="T11">
        <f t="shared" si="2"/>
        <v>132</v>
      </c>
      <c r="U11" s="6">
        <v>369</v>
      </c>
    </row>
    <row r="12" spans="1:22" ht="15.75" customHeight="1">
      <c r="A12" s="6">
        <v>136</v>
      </c>
      <c r="B12" s="6">
        <v>40</v>
      </c>
      <c r="C12" s="6">
        <v>60</v>
      </c>
      <c r="D12" s="6">
        <v>40</v>
      </c>
      <c r="E12" s="6">
        <v>80</v>
      </c>
      <c r="F12" s="6">
        <v>2</v>
      </c>
      <c r="G12" s="6">
        <v>4</v>
      </c>
      <c r="H12" s="25" t="s">
        <v>51</v>
      </c>
      <c r="K12" s="6"/>
      <c r="M12" s="6">
        <v>128</v>
      </c>
      <c r="N12" s="6">
        <v>212</v>
      </c>
      <c r="O12">
        <f>AVERAGE(M12:N12)</f>
        <v>170</v>
      </c>
      <c r="P12" s="6">
        <v>109</v>
      </c>
      <c r="Q12" s="6">
        <v>184</v>
      </c>
      <c r="R12" s="6">
        <v>151</v>
      </c>
      <c r="S12" s="6">
        <v>105</v>
      </c>
      <c r="T12">
        <f t="shared" si="2"/>
        <v>137.25</v>
      </c>
      <c r="U12" s="6">
        <v>356</v>
      </c>
    </row>
    <row r="13" spans="1:22" ht="15.75" customHeight="1">
      <c r="A13" s="12">
        <v>165</v>
      </c>
      <c r="B13" s="6">
        <v>30</v>
      </c>
      <c r="C13" s="6">
        <v>70</v>
      </c>
      <c r="D13" s="6">
        <v>30</v>
      </c>
      <c r="E13" s="6">
        <v>80</v>
      </c>
      <c r="F13" s="6">
        <v>2</v>
      </c>
      <c r="G13" s="6">
        <v>4</v>
      </c>
      <c r="H13" s="25" t="s">
        <v>52</v>
      </c>
      <c r="K13" s="6"/>
      <c r="M13">
        <v>161</v>
      </c>
      <c r="N13" s="6">
        <v>251</v>
      </c>
      <c r="O13">
        <f>AVERAGE(M13:N13)</f>
        <v>206</v>
      </c>
      <c r="P13" s="6">
        <v>116</v>
      </c>
      <c r="Q13">
        <v>223</v>
      </c>
      <c r="R13" s="6">
        <v>160</v>
      </c>
      <c r="S13">
        <v>65</v>
      </c>
      <c r="T13">
        <v>141</v>
      </c>
      <c r="U13">
        <v>329</v>
      </c>
    </row>
    <row r="14" spans="1:22" ht="15.75" customHeight="1">
      <c r="A14" s="52">
        <v>163</v>
      </c>
      <c r="B14" s="31">
        <v>30</v>
      </c>
      <c r="C14" s="31">
        <v>70</v>
      </c>
      <c r="D14" s="31">
        <v>30</v>
      </c>
      <c r="E14" s="31">
        <v>90</v>
      </c>
      <c r="F14" s="31">
        <v>2</v>
      </c>
      <c r="G14" s="31">
        <v>4</v>
      </c>
      <c r="H14" s="31" t="s">
        <v>53</v>
      </c>
      <c r="I14" s="33"/>
      <c r="J14" s="33"/>
      <c r="K14" s="31"/>
      <c r="L14" s="33"/>
      <c r="M14" s="33">
        <v>170</v>
      </c>
      <c r="N14" s="33">
        <v>271</v>
      </c>
      <c r="O14" s="33">
        <v>220.5</v>
      </c>
      <c r="P14" s="33">
        <v>144</v>
      </c>
      <c r="Q14">
        <v>100</v>
      </c>
      <c r="R14" s="33">
        <v>123</v>
      </c>
      <c r="S14" s="33">
        <v>120</v>
      </c>
      <c r="T14">
        <v>121.75</v>
      </c>
      <c r="U14">
        <v>323</v>
      </c>
    </row>
    <row r="15" spans="1:22" ht="15.75" customHeight="1">
      <c r="A15" s="6">
        <v>146</v>
      </c>
      <c r="B15" s="6">
        <v>20</v>
      </c>
      <c r="C15" s="6">
        <v>80</v>
      </c>
      <c r="D15" s="6">
        <v>20</v>
      </c>
      <c r="E15" s="6">
        <v>90</v>
      </c>
      <c r="F15" s="6">
        <v>2</v>
      </c>
      <c r="G15" s="6">
        <v>4</v>
      </c>
      <c r="H15" s="25" t="s">
        <v>54</v>
      </c>
      <c r="K15" s="6" t="s">
        <v>55</v>
      </c>
      <c r="M15" s="6" t="s">
        <v>41</v>
      </c>
      <c r="N15" s="6" t="s">
        <v>41</v>
      </c>
      <c r="O15" s="6" t="s">
        <v>44</v>
      </c>
      <c r="P15" s="6">
        <v>138</v>
      </c>
      <c r="Q15" s="6">
        <v>107</v>
      </c>
      <c r="R15" s="6">
        <v>84</v>
      </c>
      <c r="S15" s="6">
        <v>130</v>
      </c>
      <c r="T15">
        <f>AVERAGE(P15:S15)</f>
        <v>114.75</v>
      </c>
      <c r="U15" t="s">
        <v>41</v>
      </c>
    </row>
    <row r="16" spans="1:22" ht="15.75" customHeight="1">
      <c r="A16" s="31">
        <v>164</v>
      </c>
      <c r="B16" s="31">
        <v>20</v>
      </c>
      <c r="C16" s="31">
        <v>80</v>
      </c>
      <c r="D16" s="31">
        <v>20</v>
      </c>
      <c r="E16" s="31">
        <v>100</v>
      </c>
      <c r="F16" s="31"/>
      <c r="G16" s="31"/>
      <c r="H16" s="31" t="s">
        <v>56</v>
      </c>
      <c r="I16" s="33"/>
      <c r="J16" s="33"/>
      <c r="K16" s="33"/>
      <c r="L16" s="33"/>
      <c r="M16" s="33" t="s">
        <v>41</v>
      </c>
      <c r="N16" s="33" t="s">
        <v>41</v>
      </c>
      <c r="O16" s="53" t="s">
        <v>44</v>
      </c>
      <c r="P16" s="33">
        <v>197</v>
      </c>
      <c r="Q16" s="33">
        <v>113</v>
      </c>
      <c r="R16" s="33">
        <v>85</v>
      </c>
      <c r="S16" s="33">
        <v>90</v>
      </c>
      <c r="T16">
        <f>AVERAGE(P16:S16)</f>
        <v>121.25</v>
      </c>
      <c r="U16" t="s">
        <v>41</v>
      </c>
    </row>
    <row r="17" spans="1:21" ht="15.75" customHeight="1">
      <c r="A17" s="6">
        <v>150</v>
      </c>
      <c r="B17" s="6">
        <v>10</v>
      </c>
      <c r="C17" s="6">
        <v>90</v>
      </c>
      <c r="D17" s="6">
        <v>20</v>
      </c>
      <c r="E17" s="6">
        <v>90</v>
      </c>
      <c r="F17" s="6">
        <v>2</v>
      </c>
      <c r="G17" s="6">
        <v>4</v>
      </c>
      <c r="H17" s="6" t="s">
        <v>57</v>
      </c>
      <c r="M17" s="6">
        <v>318</v>
      </c>
      <c r="N17">
        <f>8*60+32</f>
        <v>512</v>
      </c>
      <c r="O17">
        <f>AVERAGE(M17:N17)</f>
        <v>415</v>
      </c>
      <c r="P17" s="6">
        <v>84</v>
      </c>
      <c r="Q17" s="6">
        <v>165</v>
      </c>
      <c r="R17" s="6">
        <v>184</v>
      </c>
      <c r="S17" s="6">
        <v>104</v>
      </c>
      <c r="T17">
        <f t="shared" ref="T17:T18" si="3">AVERAGE(P17:S17)</f>
        <v>134.25</v>
      </c>
      <c r="U17">
        <f>8*60+58</f>
        <v>538</v>
      </c>
    </row>
    <row r="18" spans="1:21" ht="15.75" customHeight="1">
      <c r="A18" s="6">
        <v>156</v>
      </c>
      <c r="B18" s="6">
        <v>10</v>
      </c>
      <c r="C18" s="6">
        <v>90</v>
      </c>
      <c r="D18" s="6">
        <v>30</v>
      </c>
      <c r="E18" s="6">
        <v>90</v>
      </c>
      <c r="H18" s="6" t="s">
        <v>58</v>
      </c>
      <c r="M18" s="6">
        <v>322</v>
      </c>
      <c r="N18">
        <f>8*60+18</f>
        <v>498</v>
      </c>
      <c r="O18">
        <f>AVERAGE(M18:N18)</f>
        <v>410</v>
      </c>
      <c r="P18" s="6">
        <v>106</v>
      </c>
      <c r="Q18" s="6">
        <v>119</v>
      </c>
      <c r="R18" s="6">
        <v>96</v>
      </c>
      <c r="S18" s="6">
        <v>95</v>
      </c>
      <c r="T18">
        <f t="shared" si="3"/>
        <v>104</v>
      </c>
      <c r="U18">
        <f>8*60+49</f>
        <v>529</v>
      </c>
    </row>
    <row r="20" spans="1:21" ht="15.75" customHeight="1">
      <c r="A20" s="6" t="s">
        <v>59</v>
      </c>
    </row>
    <row r="31" spans="1:21" ht="15.75" customHeight="1">
      <c r="M31" s="45">
        <v>6.0659722222222219E-2</v>
      </c>
      <c r="N31" s="45">
        <v>6.446759259259259E-2</v>
      </c>
      <c r="O31" s="45">
        <f>N31-M31</f>
        <v>3.8078703703703712E-3</v>
      </c>
    </row>
    <row r="46" spans="4:6" ht="15.75" customHeight="1">
      <c r="D46" s="6">
        <v>50</v>
      </c>
      <c r="E46">
        <f>100-D46</f>
        <v>50</v>
      </c>
      <c r="F46" t="str">
        <f>D46&amp;"-"&amp;E46</f>
        <v>50-50</v>
      </c>
    </row>
    <row r="47" spans="4:6" ht="15.75" customHeight="1">
      <c r="D47" s="6">
        <v>40</v>
      </c>
      <c r="E47">
        <f t="shared" ref="E47:E50" si="4">100-D47</f>
        <v>60</v>
      </c>
      <c r="F47" t="str">
        <f t="shared" ref="F47:F50" si="5">D47&amp;"-"&amp;E47</f>
        <v>40-60</v>
      </c>
    </row>
    <row r="48" spans="4:6" ht="15.75" customHeight="1">
      <c r="D48" s="1">
        <v>30</v>
      </c>
      <c r="E48">
        <f t="shared" si="4"/>
        <v>70</v>
      </c>
      <c r="F48" t="str">
        <f t="shared" si="5"/>
        <v>30-70</v>
      </c>
    </row>
    <row r="49" spans="4:6" ht="15.75" customHeight="1">
      <c r="D49" s="1">
        <v>20</v>
      </c>
      <c r="E49">
        <f t="shared" si="4"/>
        <v>80</v>
      </c>
      <c r="F49" t="str">
        <f t="shared" si="5"/>
        <v>20-80</v>
      </c>
    </row>
    <row r="50" spans="4:6" ht="15.75" customHeight="1">
      <c r="D50" s="6">
        <v>10</v>
      </c>
      <c r="E50">
        <f t="shared" si="4"/>
        <v>90</v>
      </c>
      <c r="F50" t="str">
        <f t="shared" si="5"/>
        <v>10-90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2"/>
  <sheetViews>
    <sheetView zoomScale="125" zoomScaleNormal="125" zoomScalePageLayoutView="125"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A4" sqref="A4"/>
    </sheetView>
  </sheetViews>
  <sheetFormatPr baseColWidth="10" defaultColWidth="14.5" defaultRowHeight="15.75" customHeight="1" x14ac:dyDescent="0"/>
  <cols>
    <col min="22" max="22" width="18.83203125" customWidth="1"/>
  </cols>
  <sheetData>
    <row r="1" spans="1:23" ht="1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7</v>
      </c>
      <c r="H1" s="3"/>
      <c r="I1" s="3" t="s">
        <v>8</v>
      </c>
      <c r="J1" s="3" t="s">
        <v>9</v>
      </c>
      <c r="K1" s="3" t="s">
        <v>10</v>
      </c>
      <c r="L1" s="3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5" t="s">
        <v>17</v>
      </c>
      <c r="S1" s="1" t="s">
        <v>18</v>
      </c>
      <c r="T1" s="1" t="s">
        <v>19</v>
      </c>
      <c r="U1" s="7" t="s">
        <v>23</v>
      </c>
      <c r="V1" s="9" t="s">
        <v>28</v>
      </c>
      <c r="W1" s="6" t="s">
        <v>40</v>
      </c>
    </row>
    <row r="2" spans="1:23" ht="12">
      <c r="A2" s="6">
        <v>117</v>
      </c>
      <c r="B2" s="6">
        <v>50</v>
      </c>
      <c r="C2">
        <f t="shared" ref="C2:C6" si="0">100-B2</f>
        <v>50</v>
      </c>
      <c r="D2" s="6">
        <v>50</v>
      </c>
      <c r="E2">
        <f t="shared" ref="E2:E6" si="1">100-D2</f>
        <v>50</v>
      </c>
      <c r="F2" s="6">
        <v>5</v>
      </c>
      <c r="G2" s="6">
        <v>2</v>
      </c>
      <c r="I2" s="6">
        <v>18</v>
      </c>
      <c r="J2" s="6">
        <v>1</v>
      </c>
      <c r="K2" s="6">
        <v>5</v>
      </c>
      <c r="L2" s="6">
        <v>0</v>
      </c>
      <c r="M2" s="6">
        <v>105</v>
      </c>
      <c r="N2" s="6">
        <v>207</v>
      </c>
      <c r="O2" s="6">
        <v>199</v>
      </c>
      <c r="P2" s="6">
        <v>208</v>
      </c>
      <c r="Q2" s="6">
        <v>216</v>
      </c>
      <c r="R2">
        <f t="shared" ref="R2:R6" si="2">(M2 + N2 + O2 + P2 + Q2) / 5</f>
        <v>187</v>
      </c>
      <c r="S2" s="6">
        <v>157</v>
      </c>
      <c r="T2" s="6">
        <v>203</v>
      </c>
      <c r="U2">
        <f t="shared" ref="U2:U6" si="3">(S2 + T2) / 2</f>
        <v>180</v>
      </c>
      <c r="V2">
        <f>3 * 60 - 7 + 3 * 60 + 39</f>
        <v>392</v>
      </c>
    </row>
    <row r="3" spans="1:23" s="59" customFormat="1" ht="12">
      <c r="A3" s="1">
        <v>119</v>
      </c>
      <c r="B3" s="1">
        <v>60</v>
      </c>
      <c r="C3" s="59">
        <f t="shared" si="0"/>
        <v>40</v>
      </c>
      <c r="D3" s="1">
        <v>60</v>
      </c>
      <c r="E3" s="59">
        <f t="shared" si="1"/>
        <v>40</v>
      </c>
      <c r="F3" s="1">
        <v>5</v>
      </c>
      <c r="G3" s="1">
        <v>2</v>
      </c>
      <c r="I3" s="1">
        <v>18</v>
      </c>
      <c r="J3" s="1">
        <v>1</v>
      </c>
      <c r="K3" s="1">
        <v>5</v>
      </c>
      <c r="L3" s="1">
        <v>0</v>
      </c>
      <c r="M3" s="1">
        <v>86</v>
      </c>
      <c r="N3" s="1">
        <v>108</v>
      </c>
      <c r="O3" s="1">
        <v>121</v>
      </c>
      <c r="P3" s="1">
        <v>143</v>
      </c>
      <c r="Q3" s="1">
        <v>151</v>
      </c>
      <c r="R3" s="59">
        <f t="shared" si="2"/>
        <v>121.8</v>
      </c>
      <c r="S3" s="1">
        <v>174</v>
      </c>
      <c r="T3" s="1">
        <v>159</v>
      </c>
      <c r="U3" s="59">
        <f t="shared" si="3"/>
        <v>166.5</v>
      </c>
      <c r="V3" s="1">
        <f>5 * 60 + 66 - 24</f>
        <v>342</v>
      </c>
    </row>
    <row r="4" spans="1:23" ht="12">
      <c r="A4" s="6">
        <v>120</v>
      </c>
      <c r="B4" s="6">
        <v>70</v>
      </c>
      <c r="C4">
        <f t="shared" si="0"/>
        <v>30</v>
      </c>
      <c r="D4" s="6">
        <v>70</v>
      </c>
      <c r="E4">
        <f t="shared" si="1"/>
        <v>30</v>
      </c>
      <c r="F4" s="6">
        <v>5</v>
      </c>
      <c r="G4" s="6">
        <v>2</v>
      </c>
      <c r="I4" s="6">
        <v>18</v>
      </c>
      <c r="J4" s="6">
        <v>1</v>
      </c>
      <c r="K4" s="6">
        <v>5</v>
      </c>
      <c r="L4" s="6">
        <v>0</v>
      </c>
      <c r="M4" s="6">
        <v>74</v>
      </c>
      <c r="N4" s="6">
        <v>137</v>
      </c>
      <c r="O4" s="6">
        <v>130</v>
      </c>
      <c r="P4" s="6">
        <v>125</v>
      </c>
      <c r="Q4" s="6">
        <v>167</v>
      </c>
      <c r="R4">
        <f t="shared" si="2"/>
        <v>126.6</v>
      </c>
      <c r="S4" s="6">
        <v>187</v>
      </c>
      <c r="T4" s="6">
        <v>283</v>
      </c>
      <c r="U4">
        <f t="shared" si="3"/>
        <v>235</v>
      </c>
      <c r="V4">
        <f>6 * 60 + 2</f>
        <v>362</v>
      </c>
    </row>
    <row r="5" spans="1:23" ht="12">
      <c r="A5" s="6">
        <v>121</v>
      </c>
      <c r="B5" s="6">
        <v>80</v>
      </c>
      <c r="C5">
        <f t="shared" si="0"/>
        <v>20</v>
      </c>
      <c r="D5" s="6">
        <v>80</v>
      </c>
      <c r="E5">
        <f t="shared" si="1"/>
        <v>20</v>
      </c>
      <c r="F5" s="6">
        <v>5</v>
      </c>
      <c r="G5" s="6">
        <v>2</v>
      </c>
      <c r="I5" s="6">
        <v>18</v>
      </c>
      <c r="J5" s="6">
        <v>1</v>
      </c>
      <c r="K5" s="6">
        <v>5</v>
      </c>
      <c r="L5" s="6">
        <v>0</v>
      </c>
      <c r="M5" s="6">
        <v>87</v>
      </c>
      <c r="N5" s="6">
        <v>117</v>
      </c>
      <c r="O5" s="6">
        <v>124</v>
      </c>
      <c r="P5" s="6">
        <v>123</v>
      </c>
      <c r="Q5" s="6">
        <v>140</v>
      </c>
      <c r="R5">
        <f t="shared" si="2"/>
        <v>118.2</v>
      </c>
      <c r="S5" s="6">
        <v>250</v>
      </c>
      <c r="T5" s="6">
        <v>212</v>
      </c>
      <c r="U5">
        <f t="shared" si="3"/>
        <v>231</v>
      </c>
      <c r="V5">
        <f>6 * 60 + 59 - 34</f>
        <v>385</v>
      </c>
    </row>
    <row r="6" spans="1:23" ht="12">
      <c r="A6" s="6">
        <v>122</v>
      </c>
      <c r="B6" s="6">
        <v>90</v>
      </c>
      <c r="C6">
        <f t="shared" si="0"/>
        <v>10</v>
      </c>
      <c r="D6" s="6">
        <v>90</v>
      </c>
      <c r="E6">
        <f t="shared" si="1"/>
        <v>10</v>
      </c>
      <c r="F6" s="6">
        <v>5</v>
      </c>
      <c r="G6" s="6">
        <v>2</v>
      </c>
      <c r="I6" s="6">
        <v>18</v>
      </c>
      <c r="J6" s="6">
        <v>1</v>
      </c>
      <c r="K6" s="6">
        <v>5</v>
      </c>
      <c r="L6" s="6">
        <v>0</v>
      </c>
      <c r="M6" s="6">
        <v>90</v>
      </c>
      <c r="N6" s="6">
        <v>115</v>
      </c>
      <c r="O6" s="6">
        <v>101</v>
      </c>
      <c r="P6" s="6">
        <v>121</v>
      </c>
      <c r="Q6" s="6">
        <v>109</v>
      </c>
      <c r="R6">
        <f t="shared" si="2"/>
        <v>107.2</v>
      </c>
      <c r="S6" s="43">
        <v>500</v>
      </c>
      <c r="T6" s="43">
        <v>500</v>
      </c>
      <c r="U6">
        <f t="shared" si="3"/>
        <v>500</v>
      </c>
      <c r="V6">
        <v>500</v>
      </c>
    </row>
    <row r="7" spans="1:23" ht="15.75" customHeight="1">
      <c r="A7" t="s">
        <v>81</v>
      </c>
      <c r="S7" s="6" t="s">
        <v>41</v>
      </c>
      <c r="T7" s="6" t="s">
        <v>41</v>
      </c>
      <c r="V7" s="6" t="s">
        <v>42</v>
      </c>
    </row>
    <row r="8" spans="1:23" ht="15.75" customHeight="1">
      <c r="A8">
        <v>158</v>
      </c>
      <c r="B8" s="6">
        <v>50</v>
      </c>
      <c r="C8">
        <f t="shared" ref="C8" si="4">100-B8</f>
        <v>50</v>
      </c>
      <c r="D8" s="6">
        <v>50</v>
      </c>
      <c r="E8">
        <f t="shared" ref="E8" si="5">100-D8</f>
        <v>50</v>
      </c>
      <c r="S8" s="6"/>
      <c r="T8" s="6"/>
      <c r="V8" s="6"/>
    </row>
    <row r="9" spans="1:23" ht="15.75" customHeight="1">
      <c r="S9" s="6"/>
      <c r="T9" s="6"/>
      <c r="V9" s="6"/>
    </row>
    <row r="10" spans="1:23" ht="15.75" customHeight="1">
      <c r="S10" s="6"/>
      <c r="T10" s="6"/>
      <c r="V10" s="6"/>
    </row>
    <row r="11" spans="1:23" ht="15.75" customHeight="1">
      <c r="S11" s="6"/>
      <c r="T11" s="6"/>
      <c r="V11" s="6"/>
    </row>
    <row r="13" spans="1:23" ht="17.25" customHeight="1">
      <c r="A13" s="6" t="s">
        <v>43</v>
      </c>
    </row>
    <row r="14" spans="1:23" ht="12">
      <c r="A14" s="6">
        <v>126</v>
      </c>
      <c r="B14" s="6">
        <v>50</v>
      </c>
      <c r="C14" s="6">
        <v>50</v>
      </c>
      <c r="D14" s="6">
        <v>60</v>
      </c>
      <c r="E14" s="6">
        <v>50</v>
      </c>
      <c r="F14" s="6">
        <v>5</v>
      </c>
      <c r="G14" s="6">
        <v>2</v>
      </c>
      <c r="I14" s="6">
        <v>18</v>
      </c>
      <c r="J14" s="6">
        <v>1</v>
      </c>
      <c r="K14" s="6">
        <v>5</v>
      </c>
      <c r="L14" s="6">
        <v>0</v>
      </c>
      <c r="M14" s="6">
        <v>82</v>
      </c>
      <c r="N14" s="6">
        <v>137</v>
      </c>
      <c r="O14" s="6">
        <v>145</v>
      </c>
      <c r="P14" s="6">
        <v>177</v>
      </c>
      <c r="Q14" s="6">
        <v>197</v>
      </c>
      <c r="R14">
        <f t="shared" ref="R14:R22" si="6">(M14 + N14 + O14 + P14 + Q14) / 5</f>
        <v>147.6</v>
      </c>
      <c r="S14" s="6">
        <v>171</v>
      </c>
      <c r="T14" s="6">
        <v>201</v>
      </c>
      <c r="U14">
        <f t="shared" ref="U14:U22" si="7">(S14 + T14) / 2</f>
        <v>186</v>
      </c>
      <c r="V14">
        <f>6 * 60 + 57 - 45</f>
        <v>372</v>
      </c>
    </row>
    <row r="15" spans="1:23" ht="12">
      <c r="A15" s="6">
        <v>128</v>
      </c>
      <c r="B15" s="6">
        <v>50</v>
      </c>
      <c r="C15" s="6">
        <v>50</v>
      </c>
      <c r="D15" s="6">
        <v>70</v>
      </c>
      <c r="E15" s="6">
        <v>50</v>
      </c>
      <c r="F15" s="6">
        <v>5</v>
      </c>
      <c r="G15" s="6">
        <v>2</v>
      </c>
      <c r="I15" s="6">
        <v>18</v>
      </c>
      <c r="J15" s="6">
        <v>1</v>
      </c>
      <c r="K15" s="6">
        <v>5</v>
      </c>
      <c r="L15" s="6">
        <v>0</v>
      </c>
      <c r="M15" s="6">
        <v>89</v>
      </c>
      <c r="N15" s="6">
        <v>158</v>
      </c>
      <c r="O15" s="6">
        <v>167</v>
      </c>
      <c r="P15" s="6">
        <v>168</v>
      </c>
      <c r="Q15" s="6">
        <v>194</v>
      </c>
      <c r="R15">
        <f t="shared" si="6"/>
        <v>155.19999999999999</v>
      </c>
      <c r="S15" s="6">
        <v>149</v>
      </c>
      <c r="T15" s="6">
        <v>122</v>
      </c>
      <c r="U15">
        <f t="shared" si="7"/>
        <v>135.5</v>
      </c>
      <c r="V15">
        <f>6 * 60 + 48 - 37</f>
        <v>371</v>
      </c>
    </row>
    <row r="16" spans="1:23" ht="12">
      <c r="A16" s="6">
        <v>130</v>
      </c>
      <c r="B16" s="6">
        <v>60</v>
      </c>
      <c r="C16" s="6">
        <v>40</v>
      </c>
      <c r="D16" s="6">
        <v>70</v>
      </c>
      <c r="E16" s="6">
        <v>40</v>
      </c>
      <c r="F16" s="6">
        <v>5</v>
      </c>
      <c r="G16" s="6">
        <v>2</v>
      </c>
      <c r="I16" s="6">
        <v>18</v>
      </c>
      <c r="J16" s="6">
        <v>1</v>
      </c>
      <c r="K16" s="6">
        <v>5</v>
      </c>
      <c r="L16" s="6">
        <v>0</v>
      </c>
      <c r="M16" s="6">
        <v>99</v>
      </c>
      <c r="N16" s="6">
        <v>132</v>
      </c>
      <c r="O16" s="6">
        <v>147</v>
      </c>
      <c r="P16" s="6">
        <v>145</v>
      </c>
      <c r="Q16" s="6">
        <v>168</v>
      </c>
      <c r="R16">
        <f t="shared" si="6"/>
        <v>138.19999999999999</v>
      </c>
      <c r="S16" s="6">
        <v>127</v>
      </c>
      <c r="T16" s="6">
        <v>160</v>
      </c>
      <c r="U16">
        <f t="shared" si="7"/>
        <v>143.5</v>
      </c>
      <c r="V16">
        <f>6 * 60 + 10 - 39</f>
        <v>331</v>
      </c>
    </row>
    <row r="17" spans="1:23" ht="12">
      <c r="A17" s="6">
        <v>131</v>
      </c>
      <c r="B17" s="6">
        <v>60</v>
      </c>
      <c r="C17" s="6">
        <v>40</v>
      </c>
      <c r="D17" s="6">
        <v>80</v>
      </c>
      <c r="E17" s="6">
        <v>40</v>
      </c>
      <c r="F17" s="6">
        <v>5</v>
      </c>
      <c r="G17" s="6">
        <v>2</v>
      </c>
      <c r="I17" s="6">
        <v>18</v>
      </c>
      <c r="J17" s="6">
        <v>1</v>
      </c>
      <c r="K17" s="6">
        <v>5</v>
      </c>
      <c r="L17" s="6">
        <v>0</v>
      </c>
      <c r="M17" s="6">
        <v>105</v>
      </c>
      <c r="N17" s="6">
        <v>149</v>
      </c>
      <c r="O17" s="6">
        <v>162</v>
      </c>
      <c r="P17" s="6">
        <v>170</v>
      </c>
      <c r="Q17" s="6">
        <v>179</v>
      </c>
      <c r="R17">
        <f t="shared" si="6"/>
        <v>153</v>
      </c>
      <c r="S17" s="6">
        <v>206</v>
      </c>
      <c r="T17" s="6">
        <v>200</v>
      </c>
      <c r="U17">
        <f t="shared" si="7"/>
        <v>203</v>
      </c>
      <c r="V17">
        <f>7 * 60 + 1 - 51</f>
        <v>370</v>
      </c>
    </row>
    <row r="18" spans="1:23" ht="12">
      <c r="A18" s="27">
        <v>157</v>
      </c>
      <c r="B18" s="6">
        <v>70</v>
      </c>
      <c r="C18" s="6">
        <v>30</v>
      </c>
      <c r="D18" s="6">
        <v>70</v>
      </c>
      <c r="E18" s="6">
        <v>40</v>
      </c>
      <c r="F18" s="6">
        <v>5</v>
      </c>
      <c r="G18" s="6">
        <v>2</v>
      </c>
      <c r="I18" s="6">
        <v>18</v>
      </c>
      <c r="J18" s="6">
        <v>1</v>
      </c>
      <c r="K18" s="6"/>
      <c r="L18" s="6"/>
      <c r="M18" s="6">
        <v>77</v>
      </c>
      <c r="N18" s="6">
        <v>117</v>
      </c>
      <c r="O18" s="6">
        <v>115</v>
      </c>
      <c r="P18" s="6">
        <v>148</v>
      </c>
      <c r="Q18" s="6">
        <v>161</v>
      </c>
      <c r="R18">
        <v>123.6</v>
      </c>
      <c r="S18" s="6">
        <v>87</v>
      </c>
      <c r="T18" s="6">
        <v>163</v>
      </c>
      <c r="U18">
        <v>125</v>
      </c>
      <c r="V18">
        <v>315</v>
      </c>
      <c r="W18" s="6">
        <v>355</v>
      </c>
    </row>
    <row r="19" spans="1:23" ht="12">
      <c r="A19" s="29">
        <v>147</v>
      </c>
      <c r="B19" s="29">
        <v>70</v>
      </c>
      <c r="C19" s="29">
        <v>30</v>
      </c>
      <c r="D19" s="29">
        <v>70</v>
      </c>
      <c r="E19" s="29">
        <v>50</v>
      </c>
      <c r="F19" s="29">
        <v>5</v>
      </c>
      <c r="G19" s="29">
        <v>2</v>
      </c>
      <c r="H19" s="30"/>
      <c r="I19" s="29">
        <v>18</v>
      </c>
      <c r="J19" s="29">
        <v>1</v>
      </c>
      <c r="K19" s="29">
        <v>5</v>
      </c>
      <c r="L19" s="29">
        <v>0</v>
      </c>
      <c r="M19" s="29">
        <v>94</v>
      </c>
      <c r="N19" s="29">
        <v>141</v>
      </c>
      <c r="O19" s="29">
        <v>114</v>
      </c>
      <c r="P19" s="29">
        <v>127</v>
      </c>
      <c r="Q19" s="29">
        <v>152</v>
      </c>
      <c r="R19">
        <f t="shared" si="6"/>
        <v>125.6</v>
      </c>
      <c r="S19" s="29">
        <v>207</v>
      </c>
      <c r="T19" s="29">
        <v>151</v>
      </c>
      <c r="U19">
        <f t="shared" si="7"/>
        <v>179</v>
      </c>
      <c r="V19" s="35">
        <f>6 * 60 + 24 - 51</f>
        <v>333</v>
      </c>
      <c r="W19" s="29">
        <v>377</v>
      </c>
    </row>
    <row r="20" spans="1:23" ht="12">
      <c r="A20" s="6">
        <v>137</v>
      </c>
      <c r="B20" s="6">
        <v>80</v>
      </c>
      <c r="C20" s="6">
        <v>20</v>
      </c>
      <c r="D20" s="6">
        <v>80</v>
      </c>
      <c r="E20" s="6">
        <v>30</v>
      </c>
      <c r="F20" s="6">
        <v>5</v>
      </c>
      <c r="G20" s="6">
        <v>2</v>
      </c>
      <c r="I20" s="6">
        <v>18</v>
      </c>
      <c r="J20" s="6">
        <v>1</v>
      </c>
      <c r="K20" s="6">
        <v>5</v>
      </c>
      <c r="L20" s="6">
        <v>0</v>
      </c>
      <c r="M20" s="6">
        <v>60</v>
      </c>
      <c r="N20" s="6">
        <v>105</v>
      </c>
      <c r="O20" s="6">
        <v>107</v>
      </c>
      <c r="P20" s="6">
        <v>119</v>
      </c>
      <c r="Q20" s="6">
        <v>133</v>
      </c>
      <c r="R20">
        <f t="shared" si="6"/>
        <v>104.8</v>
      </c>
      <c r="S20" s="6">
        <v>259</v>
      </c>
      <c r="T20" s="6">
        <v>213</v>
      </c>
      <c r="U20">
        <f t="shared" si="7"/>
        <v>236</v>
      </c>
      <c r="V20">
        <f>60 * 6 + 1 - 34</f>
        <v>327</v>
      </c>
    </row>
    <row r="21" spans="1:23" ht="12">
      <c r="A21" s="6">
        <v>140</v>
      </c>
      <c r="B21" s="6">
        <v>80</v>
      </c>
      <c r="C21" s="6">
        <v>20</v>
      </c>
      <c r="D21" s="6">
        <v>80</v>
      </c>
      <c r="E21" s="6">
        <v>40</v>
      </c>
      <c r="F21" s="6">
        <v>5</v>
      </c>
      <c r="G21" s="6">
        <v>2</v>
      </c>
      <c r="I21" s="6">
        <v>18</v>
      </c>
      <c r="J21" s="6">
        <v>1</v>
      </c>
      <c r="K21" s="6">
        <v>5</v>
      </c>
      <c r="L21" s="6">
        <v>0</v>
      </c>
      <c r="M21" s="6">
        <v>87</v>
      </c>
      <c r="N21" s="6">
        <v>122</v>
      </c>
      <c r="O21" s="6">
        <v>129</v>
      </c>
      <c r="P21" s="6">
        <v>147</v>
      </c>
      <c r="Q21" s="6">
        <v>169</v>
      </c>
      <c r="R21">
        <f t="shared" si="6"/>
        <v>130.80000000000001</v>
      </c>
      <c r="S21" s="6">
        <v>216</v>
      </c>
      <c r="T21" s="6">
        <v>181</v>
      </c>
      <c r="U21">
        <f t="shared" si="7"/>
        <v>198.5</v>
      </c>
      <c r="V21">
        <f>6 * 60 + 37 - 33</f>
        <v>364</v>
      </c>
    </row>
    <row r="22" spans="1:23" ht="12">
      <c r="A22" s="6">
        <v>142</v>
      </c>
      <c r="B22" s="6">
        <v>80</v>
      </c>
      <c r="C22" s="6">
        <v>20</v>
      </c>
      <c r="D22" s="6">
        <v>80</v>
      </c>
      <c r="E22" s="6">
        <v>50</v>
      </c>
      <c r="F22" s="6">
        <v>5</v>
      </c>
      <c r="G22" s="6">
        <v>2</v>
      </c>
      <c r="I22" s="6">
        <v>18</v>
      </c>
      <c r="J22" s="6">
        <v>1</v>
      </c>
      <c r="K22" s="6">
        <v>5</v>
      </c>
      <c r="L22" s="6">
        <v>0</v>
      </c>
      <c r="M22" s="6">
        <v>59</v>
      </c>
      <c r="N22" s="6">
        <v>106</v>
      </c>
      <c r="O22" s="6">
        <v>107</v>
      </c>
      <c r="P22" s="6">
        <v>106</v>
      </c>
      <c r="Q22" s="6">
        <v>105</v>
      </c>
      <c r="R22">
        <f t="shared" si="6"/>
        <v>96.6</v>
      </c>
      <c r="S22" s="6">
        <v>215</v>
      </c>
      <c r="T22" s="6">
        <v>173</v>
      </c>
      <c r="U22">
        <f t="shared" si="7"/>
        <v>194</v>
      </c>
      <c r="V22">
        <f>5 * 60 + 45 - 20</f>
        <v>325</v>
      </c>
    </row>
    <row r="24" spans="1:23" ht="15.75" customHeight="1" thickBot="1">
      <c r="A24" t="s">
        <v>82</v>
      </c>
    </row>
    <row r="25" spans="1:23" ht="15.75" customHeight="1" thickBot="1">
      <c r="A25" s="46">
        <v>158</v>
      </c>
      <c r="B25" s="46">
        <v>50</v>
      </c>
      <c r="C25" s="46">
        <v>50</v>
      </c>
      <c r="D25" s="46">
        <v>50</v>
      </c>
      <c r="E25" s="46">
        <v>50</v>
      </c>
      <c r="F25" s="46">
        <v>5</v>
      </c>
      <c r="G25" s="46">
        <v>2</v>
      </c>
      <c r="H25" s="47"/>
      <c r="I25" s="47"/>
      <c r="J25" s="47"/>
      <c r="K25" s="47"/>
      <c r="L25" s="47"/>
      <c r="M25" s="46">
        <v>110</v>
      </c>
      <c r="N25" s="46">
        <v>169</v>
      </c>
      <c r="O25" s="46">
        <v>190</v>
      </c>
      <c r="P25" s="46">
        <v>222</v>
      </c>
      <c r="Q25" s="46">
        <v>263</v>
      </c>
      <c r="R25" s="46">
        <v>190.8</v>
      </c>
      <c r="S25" s="46">
        <v>89</v>
      </c>
      <c r="T25" s="46">
        <v>134</v>
      </c>
      <c r="U25" s="46">
        <v>111.5</v>
      </c>
      <c r="V25" s="46">
        <v>411</v>
      </c>
    </row>
    <row r="26" spans="1:23" ht="15.75" customHeight="1" thickBot="1">
      <c r="A26" s="46">
        <v>159</v>
      </c>
      <c r="B26" s="46">
        <v>60</v>
      </c>
      <c r="C26" s="46">
        <v>40</v>
      </c>
      <c r="D26" s="46">
        <v>60</v>
      </c>
      <c r="E26" s="46">
        <v>40</v>
      </c>
      <c r="F26" s="46">
        <v>5</v>
      </c>
      <c r="G26" s="46">
        <v>2</v>
      </c>
      <c r="H26" s="60"/>
      <c r="I26" s="60"/>
      <c r="J26" s="60"/>
      <c r="K26" s="60"/>
      <c r="L26" s="60"/>
      <c r="M26" s="46">
        <v>113</v>
      </c>
      <c r="N26" s="46">
        <v>185</v>
      </c>
      <c r="O26" s="46">
        <v>174</v>
      </c>
      <c r="P26" s="46">
        <v>169</v>
      </c>
      <c r="Q26" s="46">
        <v>179</v>
      </c>
      <c r="R26" s="46">
        <v>164</v>
      </c>
      <c r="S26" s="46">
        <v>108</v>
      </c>
      <c r="T26" s="46">
        <v>148</v>
      </c>
      <c r="U26" s="46">
        <v>128</v>
      </c>
      <c r="V26" s="46">
        <v>356</v>
      </c>
    </row>
    <row r="27" spans="1:23" ht="15.75" customHeight="1" thickBot="1">
      <c r="A27" s="46">
        <v>160</v>
      </c>
      <c r="B27" s="46">
        <v>70</v>
      </c>
      <c r="C27" s="46">
        <v>30</v>
      </c>
      <c r="D27" s="46">
        <v>70</v>
      </c>
      <c r="E27" s="46">
        <v>30</v>
      </c>
      <c r="F27" s="46">
        <v>5</v>
      </c>
      <c r="G27" s="46">
        <v>2</v>
      </c>
      <c r="H27" s="60"/>
      <c r="I27" s="60"/>
      <c r="J27" s="60"/>
      <c r="K27" s="60"/>
      <c r="L27" s="60"/>
      <c r="M27" s="46">
        <v>104</v>
      </c>
      <c r="N27" s="46">
        <v>167</v>
      </c>
      <c r="O27" s="46">
        <v>150</v>
      </c>
      <c r="P27" s="46">
        <v>160</v>
      </c>
      <c r="Q27" s="46">
        <v>183</v>
      </c>
      <c r="R27" s="46">
        <v>152.80000000000001</v>
      </c>
      <c r="S27" s="46">
        <v>160</v>
      </c>
      <c r="T27" s="46">
        <v>174</v>
      </c>
      <c r="U27" s="46">
        <v>167</v>
      </c>
      <c r="V27" s="46">
        <v>362</v>
      </c>
    </row>
    <row r="28" spans="1:23" ht="15.75" customHeight="1" thickBot="1">
      <c r="A28" s="46">
        <v>161</v>
      </c>
      <c r="B28" s="46">
        <v>80</v>
      </c>
      <c r="C28" s="46">
        <v>20</v>
      </c>
      <c r="D28" s="46">
        <v>80</v>
      </c>
      <c r="E28" s="46">
        <v>20</v>
      </c>
      <c r="F28" s="46">
        <v>5</v>
      </c>
      <c r="G28" s="46">
        <v>2</v>
      </c>
      <c r="H28" s="60"/>
      <c r="I28" s="60"/>
      <c r="J28" s="60"/>
      <c r="K28" s="60"/>
      <c r="L28" s="60"/>
      <c r="M28" s="46">
        <v>91</v>
      </c>
      <c r="N28" s="46">
        <v>117</v>
      </c>
      <c r="O28" s="46">
        <v>102</v>
      </c>
      <c r="P28" s="46">
        <v>134</v>
      </c>
      <c r="Q28" s="46">
        <v>127</v>
      </c>
      <c r="R28" s="46">
        <v>114.2</v>
      </c>
      <c r="S28" s="46">
        <v>181</v>
      </c>
      <c r="T28" s="46">
        <v>185</v>
      </c>
      <c r="U28" s="46">
        <v>183</v>
      </c>
      <c r="V28" s="46">
        <v>343</v>
      </c>
    </row>
    <row r="29" spans="1:23" ht="15.75" customHeight="1" thickBot="1">
      <c r="A29" s="46">
        <v>162</v>
      </c>
      <c r="B29" s="46">
        <v>90</v>
      </c>
      <c r="C29" s="46">
        <v>10</v>
      </c>
      <c r="D29" s="46">
        <v>90</v>
      </c>
      <c r="E29" s="46">
        <v>10</v>
      </c>
      <c r="F29" s="46">
        <v>5</v>
      </c>
      <c r="G29" s="46">
        <v>2</v>
      </c>
      <c r="H29" s="60"/>
      <c r="I29" s="60"/>
      <c r="J29" s="60"/>
      <c r="K29" s="60"/>
      <c r="L29" s="60"/>
      <c r="M29" s="46">
        <v>63</v>
      </c>
      <c r="N29" s="46">
        <v>95</v>
      </c>
      <c r="O29" s="46">
        <v>106</v>
      </c>
      <c r="P29" s="46">
        <v>113</v>
      </c>
      <c r="Q29" s="46">
        <v>124</v>
      </c>
      <c r="R29" s="46">
        <v>100.2</v>
      </c>
      <c r="S29" s="47" t="s">
        <v>41</v>
      </c>
      <c r="T29" s="47" t="s">
        <v>41</v>
      </c>
      <c r="U29" s="60"/>
      <c r="V29" s="47" t="s">
        <v>83</v>
      </c>
    </row>
    <row r="32" spans="1:23" ht="15.75" customHeight="1">
      <c r="I32" s="6">
        <v>117</v>
      </c>
      <c r="J32" s="6">
        <v>119</v>
      </c>
      <c r="K32" s="6">
        <v>120</v>
      </c>
      <c r="L32" s="6">
        <v>121</v>
      </c>
      <c r="M32" s="6">
        <v>122</v>
      </c>
      <c r="N32" s="6">
        <v>126</v>
      </c>
      <c r="O32" s="6">
        <v>128</v>
      </c>
      <c r="P32" s="6">
        <v>130</v>
      </c>
      <c r="Q32" s="6">
        <v>131</v>
      </c>
      <c r="R32" s="27">
        <v>157</v>
      </c>
      <c r="S32" s="29">
        <v>147</v>
      </c>
      <c r="T32" s="6">
        <v>137</v>
      </c>
      <c r="U32" s="6">
        <v>140</v>
      </c>
      <c r="V32" s="6">
        <v>142</v>
      </c>
    </row>
    <row r="34" spans="9:11" ht="15.75" customHeight="1">
      <c r="I34" s="45">
        <v>2.4652777777777777E-2</v>
      </c>
      <c r="J34" s="45">
        <v>2.8391203703703707E-2</v>
      </c>
      <c r="K34" s="45">
        <f>J34-I34</f>
        <v>3.7384259259259298E-3</v>
      </c>
    </row>
    <row r="58" spans="3:6" ht="15.75" customHeight="1">
      <c r="C58" s="6">
        <v>50</v>
      </c>
      <c r="D58">
        <f>100-C58</f>
        <v>50</v>
      </c>
      <c r="F58" t="str">
        <f>C58&amp;"-"&amp;D58</f>
        <v>50-50</v>
      </c>
    </row>
    <row r="59" spans="3:6" ht="15.75" customHeight="1">
      <c r="C59" s="1">
        <v>60</v>
      </c>
      <c r="D59">
        <f t="shared" ref="D59:D62" si="8">100-C59</f>
        <v>40</v>
      </c>
      <c r="F59" t="str">
        <f t="shared" ref="F59:F62" si="9">C59&amp;"-"&amp;D59</f>
        <v>60-40</v>
      </c>
    </row>
    <row r="60" spans="3:6" ht="15.75" customHeight="1">
      <c r="C60" s="6">
        <v>70</v>
      </c>
      <c r="D60">
        <f t="shared" si="8"/>
        <v>30</v>
      </c>
      <c r="F60" t="str">
        <f t="shared" si="9"/>
        <v>70-30</v>
      </c>
    </row>
    <row r="61" spans="3:6" ht="15.75" customHeight="1">
      <c r="C61" s="6">
        <v>80</v>
      </c>
      <c r="D61">
        <f t="shared" si="8"/>
        <v>20</v>
      </c>
      <c r="F61" t="str">
        <f t="shared" si="9"/>
        <v>80-20</v>
      </c>
    </row>
    <row r="62" spans="3:6" ht="15.75" customHeight="1">
      <c r="C62" s="6">
        <v>90</v>
      </c>
      <c r="D62">
        <f t="shared" si="8"/>
        <v>10</v>
      </c>
      <c r="F62" t="str">
        <f t="shared" si="9"/>
        <v>90-10</v>
      </c>
    </row>
  </sheetData>
  <pageMargins left="0.75" right="0.75" top="1" bottom="1" header="0.5" footer="0.5"/>
  <pageSetup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B10" sqref="B10"/>
    </sheetView>
  </sheetViews>
  <sheetFormatPr baseColWidth="10" defaultColWidth="14.5" defaultRowHeight="15.75" customHeight="1" x14ac:dyDescent="0"/>
  <cols>
    <col min="7" max="7" width="20.1640625" customWidth="1"/>
    <col min="8" max="8" width="24.5" customWidth="1"/>
  </cols>
  <sheetData>
    <row r="1" spans="1:8" ht="15.75" customHeight="1">
      <c r="A1" s="6" t="s">
        <v>6</v>
      </c>
    </row>
    <row r="2" spans="1:8" ht="15.75" customHeight="1">
      <c r="B2" s="6" t="s">
        <v>24</v>
      </c>
    </row>
    <row r="3" spans="1:8" ht="15.75" customHeight="1">
      <c r="B3" s="6" t="s">
        <v>25</v>
      </c>
      <c r="C3" s="6" t="s">
        <v>26</v>
      </c>
      <c r="D3" s="8" t="s">
        <v>27</v>
      </c>
      <c r="E3" s="8" t="s">
        <v>29</v>
      </c>
      <c r="F3" s="8" t="s">
        <v>30</v>
      </c>
      <c r="G3" s="8" t="s">
        <v>31</v>
      </c>
      <c r="H3" s="8" t="s">
        <v>32</v>
      </c>
    </row>
    <row r="4" spans="1:8" ht="15.75" customHeight="1">
      <c r="B4" s="6">
        <v>4</v>
      </c>
      <c r="C4" s="6" t="s">
        <v>33</v>
      </c>
      <c r="D4" s="6">
        <v>2</v>
      </c>
      <c r="E4" s="6">
        <v>4</v>
      </c>
      <c r="F4" s="6">
        <v>7.5</v>
      </c>
      <c r="G4" s="6" t="s">
        <v>34</v>
      </c>
      <c r="H4" s="6" t="s">
        <v>35</v>
      </c>
    </row>
    <row r="8" spans="1:8" ht="15.75" customHeight="1">
      <c r="B8" s="6" t="s">
        <v>36</v>
      </c>
      <c r="E8" s="6">
        <v>256</v>
      </c>
    </row>
    <row r="10" spans="1:8" ht="15.75" customHeight="1">
      <c r="B10" s="51" t="s">
        <v>37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T171"/>
  <sheetViews>
    <sheetView workbookViewId="0">
      <selection activeCell="F79" sqref="F79"/>
    </sheetView>
  </sheetViews>
  <sheetFormatPr baseColWidth="10" defaultRowHeight="12" x14ac:dyDescent="0"/>
  <sheetData>
    <row r="3" spans="1:20">
      <c r="A3" t="s">
        <v>78</v>
      </c>
      <c r="B3" s="1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4" t="s">
        <v>12</v>
      </c>
      <c r="H3" s="4" t="s">
        <v>13</v>
      </c>
      <c r="I3" s="4" t="s">
        <v>14</v>
      </c>
      <c r="J3" s="4" t="s">
        <v>15</v>
      </c>
      <c r="K3" s="4" t="s">
        <v>16</v>
      </c>
      <c r="L3" s="5" t="s">
        <v>17</v>
      </c>
      <c r="M3" s="1" t="s">
        <v>18</v>
      </c>
      <c r="N3" s="1" t="s">
        <v>19</v>
      </c>
      <c r="O3" s="7" t="s">
        <v>23</v>
      </c>
      <c r="P3" s="9" t="s">
        <v>28</v>
      </c>
      <c r="Q3" s="6" t="s">
        <v>40</v>
      </c>
    </row>
    <row r="4" spans="1:20">
      <c r="A4" s="44" t="s">
        <v>75</v>
      </c>
      <c r="B4" s="6">
        <v>117</v>
      </c>
      <c r="C4" s="6">
        <v>50</v>
      </c>
      <c r="D4">
        <f t="shared" ref="D4" si="0">100-C4</f>
        <v>50</v>
      </c>
      <c r="E4" s="6">
        <v>50</v>
      </c>
      <c r="F4">
        <f t="shared" ref="F4" si="1">100-E4</f>
        <v>50</v>
      </c>
      <c r="G4" s="6">
        <v>105</v>
      </c>
      <c r="H4" s="6">
        <v>207</v>
      </c>
      <c r="I4" s="6">
        <v>199</v>
      </c>
      <c r="J4" s="6">
        <v>208</v>
      </c>
      <c r="K4" s="6">
        <v>216</v>
      </c>
      <c r="L4">
        <f t="shared" ref="L4:L6" si="2">(G4 + H4 + I4 + J4 + K4) / 5</f>
        <v>187</v>
      </c>
      <c r="M4" s="6">
        <v>157</v>
      </c>
      <c r="N4" s="6">
        <v>203</v>
      </c>
      <c r="O4">
        <f t="shared" ref="O4:O6" si="3">(M4 + N4) / 2</f>
        <v>180</v>
      </c>
      <c r="P4">
        <f>3 * 60 - 7 + 3 * 60 + 39</f>
        <v>392</v>
      </c>
    </row>
    <row r="5" spans="1:20">
      <c r="A5" s="44" t="s">
        <v>76</v>
      </c>
      <c r="B5" s="6">
        <v>126</v>
      </c>
      <c r="C5" s="6">
        <v>50</v>
      </c>
      <c r="D5" s="6">
        <v>50</v>
      </c>
      <c r="E5" s="6">
        <v>60</v>
      </c>
      <c r="F5" s="6">
        <v>50</v>
      </c>
      <c r="G5" s="6">
        <v>82</v>
      </c>
      <c r="H5" s="6">
        <v>137</v>
      </c>
      <c r="I5" s="6">
        <v>145</v>
      </c>
      <c r="J5" s="6">
        <v>177</v>
      </c>
      <c r="K5" s="6">
        <v>197</v>
      </c>
      <c r="L5">
        <f t="shared" si="2"/>
        <v>147.6</v>
      </c>
      <c r="M5" s="6">
        <v>171</v>
      </c>
      <c r="N5" s="6">
        <v>201</v>
      </c>
      <c r="O5">
        <f t="shared" si="3"/>
        <v>186</v>
      </c>
      <c r="P5">
        <f>6 * 60 + 57 - 45</f>
        <v>372</v>
      </c>
    </row>
    <row r="6" spans="1:20">
      <c r="A6" s="44" t="s">
        <v>77</v>
      </c>
      <c r="B6" s="6">
        <v>128</v>
      </c>
      <c r="C6" s="6">
        <v>50</v>
      </c>
      <c r="D6" s="6">
        <v>50</v>
      </c>
      <c r="E6" s="6">
        <v>70</v>
      </c>
      <c r="F6" s="6">
        <v>50</v>
      </c>
      <c r="G6" s="6">
        <v>89</v>
      </c>
      <c r="H6" s="6">
        <v>158</v>
      </c>
      <c r="I6" s="6">
        <v>167</v>
      </c>
      <c r="J6" s="6">
        <v>168</v>
      </c>
      <c r="K6" s="6">
        <v>194</v>
      </c>
      <c r="L6">
        <f t="shared" si="2"/>
        <v>155.19999999999999</v>
      </c>
      <c r="M6" s="6">
        <v>149</v>
      </c>
      <c r="N6" s="6">
        <v>122</v>
      </c>
      <c r="O6">
        <f t="shared" si="3"/>
        <v>135.5</v>
      </c>
      <c r="P6">
        <f>6 * 60 + 48 - 37</f>
        <v>371</v>
      </c>
    </row>
    <row r="8" spans="1:20">
      <c r="T8" s="48" t="s">
        <v>79</v>
      </c>
    </row>
    <row r="12" spans="1:20">
      <c r="R12" t="s">
        <v>75</v>
      </c>
    </row>
    <row r="13" spans="1:20">
      <c r="R13" t="s">
        <v>76</v>
      </c>
    </row>
    <row r="14" spans="1:20">
      <c r="R14" t="s">
        <v>77</v>
      </c>
    </row>
    <row r="46" spans="2:17">
      <c r="B46" s="1" t="s">
        <v>0</v>
      </c>
      <c r="C46" s="2" t="s">
        <v>1</v>
      </c>
      <c r="D46" s="2" t="s">
        <v>2</v>
      </c>
      <c r="E46" s="2" t="s">
        <v>3</v>
      </c>
      <c r="F46" s="2" t="s">
        <v>4</v>
      </c>
      <c r="G46" s="4" t="s">
        <v>12</v>
      </c>
      <c r="H46" s="4" t="s">
        <v>13</v>
      </c>
      <c r="I46" s="4" t="s">
        <v>14</v>
      </c>
      <c r="J46" s="4" t="s">
        <v>15</v>
      </c>
      <c r="K46" s="4" t="s">
        <v>16</v>
      </c>
      <c r="L46" s="5" t="s">
        <v>17</v>
      </c>
      <c r="M46" s="1" t="s">
        <v>18</v>
      </c>
      <c r="N46" s="1" t="s">
        <v>19</v>
      </c>
      <c r="O46" s="7" t="s">
        <v>23</v>
      </c>
      <c r="P46" s="9" t="s">
        <v>28</v>
      </c>
      <c r="Q46" s="6" t="s">
        <v>40</v>
      </c>
    </row>
    <row r="47" spans="2:17">
      <c r="B47" s="6">
        <v>119</v>
      </c>
      <c r="C47" s="6">
        <v>60</v>
      </c>
      <c r="D47">
        <f t="shared" ref="D47" si="4">100-C47</f>
        <v>40</v>
      </c>
      <c r="E47" s="6">
        <v>60</v>
      </c>
      <c r="F47">
        <f t="shared" ref="F47" si="5">100-E47</f>
        <v>40</v>
      </c>
      <c r="G47" s="6">
        <v>86</v>
      </c>
      <c r="H47" s="6">
        <v>108</v>
      </c>
      <c r="I47" s="6">
        <v>121</v>
      </c>
      <c r="J47" s="6">
        <v>143</v>
      </c>
      <c r="K47" s="6">
        <v>151</v>
      </c>
      <c r="L47">
        <f t="shared" ref="L47:L49" si="6">(G47 + H47 + I47 + J47 + K47) / 5</f>
        <v>121.8</v>
      </c>
      <c r="M47" s="6">
        <v>174</v>
      </c>
      <c r="N47" s="6">
        <v>159</v>
      </c>
      <c r="O47">
        <f t="shared" ref="O47:O49" si="7">(M47 + N47) / 2</f>
        <v>166.5</v>
      </c>
      <c r="P47" s="6">
        <f>5 * 60 + 66 - 24</f>
        <v>342</v>
      </c>
    </row>
    <row r="48" spans="2:17">
      <c r="B48" s="6">
        <v>130</v>
      </c>
      <c r="C48" s="6">
        <v>60</v>
      </c>
      <c r="D48" s="6">
        <v>40</v>
      </c>
      <c r="E48" s="6">
        <v>70</v>
      </c>
      <c r="F48" s="6">
        <v>40</v>
      </c>
      <c r="G48" s="6">
        <v>99</v>
      </c>
      <c r="H48" s="6">
        <v>132</v>
      </c>
      <c r="I48" s="6">
        <v>147</v>
      </c>
      <c r="J48" s="6">
        <v>145</v>
      </c>
      <c r="K48" s="6">
        <v>168</v>
      </c>
      <c r="L48">
        <f t="shared" si="6"/>
        <v>138.19999999999999</v>
      </c>
      <c r="M48" s="6">
        <v>127</v>
      </c>
      <c r="N48" s="6">
        <v>160</v>
      </c>
      <c r="O48">
        <f t="shared" si="7"/>
        <v>143.5</v>
      </c>
      <c r="P48">
        <f>6 * 60 + 10 - 39</f>
        <v>331</v>
      </c>
    </row>
    <row r="49" spans="2:16">
      <c r="B49" s="6">
        <v>131</v>
      </c>
      <c r="C49" s="6">
        <v>60</v>
      </c>
      <c r="D49" s="6">
        <v>40</v>
      </c>
      <c r="E49" s="6">
        <v>80</v>
      </c>
      <c r="F49" s="6">
        <v>40</v>
      </c>
      <c r="G49" s="6">
        <v>105</v>
      </c>
      <c r="H49" s="6">
        <v>149</v>
      </c>
      <c r="I49" s="6">
        <v>162</v>
      </c>
      <c r="J49" s="6">
        <v>170</v>
      </c>
      <c r="K49" s="6">
        <v>179</v>
      </c>
      <c r="L49">
        <f t="shared" si="6"/>
        <v>153</v>
      </c>
      <c r="M49" s="6">
        <v>206</v>
      </c>
      <c r="N49" s="6">
        <v>200</v>
      </c>
      <c r="O49">
        <f t="shared" si="7"/>
        <v>203</v>
      </c>
      <c r="P49">
        <f>7 * 60 + 1 - 51</f>
        <v>370</v>
      </c>
    </row>
    <row r="89" spans="1:17">
      <c r="A89" s="49"/>
      <c r="B89" s="1" t="s">
        <v>0</v>
      </c>
      <c r="C89" s="2" t="s">
        <v>1</v>
      </c>
      <c r="D89" s="2" t="s">
        <v>2</v>
      </c>
      <c r="E89" s="2" t="s">
        <v>3</v>
      </c>
      <c r="F89" s="2" t="s">
        <v>4</v>
      </c>
      <c r="G89" s="4" t="s">
        <v>12</v>
      </c>
      <c r="H89" s="4" t="s">
        <v>13</v>
      </c>
      <c r="I89" s="4" t="s">
        <v>14</v>
      </c>
      <c r="J89" s="4" t="s">
        <v>15</v>
      </c>
      <c r="K89" s="4" t="s">
        <v>16</v>
      </c>
      <c r="L89" s="5" t="s">
        <v>17</v>
      </c>
      <c r="M89" s="1" t="s">
        <v>18</v>
      </c>
      <c r="N89" s="1" t="s">
        <v>19</v>
      </c>
      <c r="O89" s="7" t="s">
        <v>23</v>
      </c>
      <c r="P89" s="9" t="s">
        <v>28</v>
      </c>
      <c r="Q89" s="6"/>
    </row>
    <row r="90" spans="1:17">
      <c r="A90" s="49"/>
      <c r="B90" s="6">
        <v>120</v>
      </c>
      <c r="C90" s="6">
        <v>70</v>
      </c>
      <c r="D90">
        <f t="shared" ref="D90" si="8">100-C90</f>
        <v>30</v>
      </c>
      <c r="E90" s="6">
        <v>70</v>
      </c>
      <c r="F90">
        <f t="shared" ref="F90" si="9">100-E90</f>
        <v>30</v>
      </c>
      <c r="G90" s="6">
        <v>74</v>
      </c>
      <c r="H90" s="6">
        <v>137</v>
      </c>
      <c r="I90" s="6">
        <v>130</v>
      </c>
      <c r="J90" s="6">
        <v>125</v>
      </c>
      <c r="K90" s="6">
        <v>167</v>
      </c>
      <c r="L90">
        <f t="shared" ref="L90:L92" si="10">(G90 + H90 + I90 + J90 + K90) / 5</f>
        <v>126.6</v>
      </c>
      <c r="M90" s="6">
        <v>187</v>
      </c>
      <c r="N90" s="6">
        <v>283</v>
      </c>
      <c r="O90">
        <f t="shared" ref="O90:O92" si="11">(M90 + N90) / 2</f>
        <v>235</v>
      </c>
      <c r="P90">
        <f>6 * 60 + 2</f>
        <v>362</v>
      </c>
    </row>
    <row r="91" spans="1:17">
      <c r="A91" s="49"/>
      <c r="B91" s="27">
        <v>157</v>
      </c>
      <c r="C91" s="6">
        <v>70</v>
      </c>
      <c r="D91" s="6">
        <v>30</v>
      </c>
      <c r="E91" s="6">
        <v>70</v>
      </c>
      <c r="F91" s="6">
        <v>40</v>
      </c>
      <c r="G91" s="6">
        <v>77</v>
      </c>
      <c r="H91">
        <v>117</v>
      </c>
      <c r="I91">
        <v>115</v>
      </c>
      <c r="J91" s="6">
        <v>148</v>
      </c>
      <c r="K91">
        <v>161</v>
      </c>
      <c r="L91">
        <v>123.6</v>
      </c>
      <c r="M91">
        <v>87</v>
      </c>
      <c r="N91">
        <v>163</v>
      </c>
      <c r="O91">
        <v>125</v>
      </c>
      <c r="P91" s="49">
        <v>315</v>
      </c>
    </row>
    <row r="92" spans="1:17">
      <c r="A92" s="49"/>
      <c r="B92" s="29">
        <v>147</v>
      </c>
      <c r="C92" s="29">
        <v>70</v>
      </c>
      <c r="D92" s="29">
        <v>30</v>
      </c>
      <c r="E92" s="29">
        <v>70</v>
      </c>
      <c r="F92" s="29">
        <v>50</v>
      </c>
      <c r="G92" s="29">
        <v>94</v>
      </c>
      <c r="H92" s="29">
        <v>141</v>
      </c>
      <c r="I92" s="29">
        <v>114</v>
      </c>
      <c r="J92" s="29">
        <v>127</v>
      </c>
      <c r="K92" s="29">
        <v>152</v>
      </c>
      <c r="L92">
        <f t="shared" si="10"/>
        <v>125.6</v>
      </c>
      <c r="M92" s="29">
        <v>207</v>
      </c>
      <c r="N92" s="29">
        <v>151</v>
      </c>
      <c r="O92">
        <f t="shared" si="11"/>
        <v>179</v>
      </c>
      <c r="P92" s="50">
        <f>6 * 60 + 24 - 51</f>
        <v>333</v>
      </c>
      <c r="Q92" s="29"/>
    </row>
    <row r="124" spans="3:5">
      <c r="C124" s="45"/>
      <c r="D124" s="45"/>
      <c r="E124" s="45"/>
    </row>
    <row r="131" spans="2:17">
      <c r="B131" s="1" t="s">
        <v>0</v>
      </c>
      <c r="C131" s="2" t="s">
        <v>1</v>
      </c>
      <c r="D131" s="2" t="s">
        <v>2</v>
      </c>
      <c r="E131" s="2" t="s">
        <v>3</v>
      </c>
      <c r="F131" s="2" t="s">
        <v>4</v>
      </c>
      <c r="G131" s="4" t="s">
        <v>12</v>
      </c>
      <c r="H131" s="4" t="s">
        <v>13</v>
      </c>
      <c r="I131" s="4" t="s">
        <v>14</v>
      </c>
      <c r="J131" s="4" t="s">
        <v>15</v>
      </c>
      <c r="K131" s="4" t="s">
        <v>16</v>
      </c>
      <c r="L131" s="5" t="s">
        <v>17</v>
      </c>
      <c r="M131" s="1" t="s">
        <v>18</v>
      </c>
      <c r="N131" s="1" t="s">
        <v>19</v>
      </c>
      <c r="O131" s="7" t="s">
        <v>23</v>
      </c>
      <c r="P131" s="9" t="s">
        <v>28</v>
      </c>
      <c r="Q131" s="6" t="s">
        <v>40</v>
      </c>
    </row>
    <row r="132" spans="2:17">
      <c r="B132" s="6">
        <v>121</v>
      </c>
      <c r="C132" s="6">
        <v>80</v>
      </c>
      <c r="D132">
        <f t="shared" ref="D132" si="12">100-C132</f>
        <v>20</v>
      </c>
      <c r="E132" s="6">
        <v>80</v>
      </c>
      <c r="F132">
        <f t="shared" ref="F132" si="13">100-E132</f>
        <v>20</v>
      </c>
      <c r="G132" s="6">
        <v>87</v>
      </c>
      <c r="H132" s="6">
        <v>117</v>
      </c>
      <c r="I132" s="6">
        <v>124</v>
      </c>
      <c r="J132" s="6">
        <v>123</v>
      </c>
      <c r="K132" s="6">
        <v>140</v>
      </c>
      <c r="L132">
        <f t="shared" ref="L132:L135" si="14">(G132 + H132 + I132 + J132 + K132) / 5</f>
        <v>118.2</v>
      </c>
      <c r="M132" s="6">
        <v>250</v>
      </c>
      <c r="N132" s="6">
        <v>212</v>
      </c>
      <c r="O132">
        <f t="shared" ref="O132:O135" si="15">(M132 + N132) / 2</f>
        <v>231</v>
      </c>
      <c r="P132">
        <f>6 * 60 + 59 - 34</f>
        <v>385</v>
      </c>
    </row>
    <row r="133" spans="2:17">
      <c r="B133" s="6">
        <v>137</v>
      </c>
      <c r="C133" s="6">
        <v>80</v>
      </c>
      <c r="D133" s="6">
        <v>20</v>
      </c>
      <c r="E133" s="6">
        <v>80</v>
      </c>
      <c r="F133" s="6">
        <v>30</v>
      </c>
      <c r="G133" s="6">
        <v>60</v>
      </c>
      <c r="H133" s="6">
        <v>105</v>
      </c>
      <c r="I133" s="6">
        <v>107</v>
      </c>
      <c r="J133" s="6">
        <v>119</v>
      </c>
      <c r="K133" s="6">
        <v>133</v>
      </c>
      <c r="L133">
        <f t="shared" si="14"/>
        <v>104.8</v>
      </c>
      <c r="M133" s="6">
        <v>259</v>
      </c>
      <c r="N133" s="6">
        <v>213</v>
      </c>
      <c r="O133">
        <f t="shared" si="15"/>
        <v>236</v>
      </c>
      <c r="P133">
        <f>60 * 6 + 1 - 34</f>
        <v>327</v>
      </c>
    </row>
    <row r="134" spans="2:17">
      <c r="B134" s="6">
        <v>140</v>
      </c>
      <c r="C134" s="6">
        <v>80</v>
      </c>
      <c r="D134" s="6">
        <v>20</v>
      </c>
      <c r="E134" s="6">
        <v>80</v>
      </c>
      <c r="F134" s="6">
        <v>40</v>
      </c>
      <c r="G134" s="6">
        <v>87</v>
      </c>
      <c r="H134" s="6">
        <v>122</v>
      </c>
      <c r="I134" s="6">
        <v>129</v>
      </c>
      <c r="J134" s="6">
        <v>147</v>
      </c>
      <c r="K134" s="6">
        <v>169</v>
      </c>
      <c r="L134">
        <f t="shared" si="14"/>
        <v>130.80000000000001</v>
      </c>
      <c r="M134" s="6">
        <v>216</v>
      </c>
      <c r="N134" s="6">
        <v>181</v>
      </c>
      <c r="O134">
        <f t="shared" si="15"/>
        <v>198.5</v>
      </c>
      <c r="P134">
        <f>6 * 60 + 37 - 33</f>
        <v>364</v>
      </c>
    </row>
    <row r="135" spans="2:17">
      <c r="B135" s="27">
        <v>142</v>
      </c>
      <c r="C135" s="6">
        <v>80</v>
      </c>
      <c r="D135" s="6">
        <v>20</v>
      </c>
      <c r="E135" s="6">
        <v>80</v>
      </c>
      <c r="F135" s="6">
        <v>50</v>
      </c>
      <c r="G135" s="6">
        <v>59</v>
      </c>
      <c r="H135" s="6">
        <v>106</v>
      </c>
      <c r="I135" s="6">
        <v>107</v>
      </c>
      <c r="J135" s="6">
        <v>106</v>
      </c>
      <c r="K135" s="6">
        <v>105</v>
      </c>
      <c r="L135">
        <f t="shared" si="14"/>
        <v>96.6</v>
      </c>
      <c r="M135" s="6">
        <v>215</v>
      </c>
      <c r="N135" s="6">
        <v>173</v>
      </c>
      <c r="O135">
        <f t="shared" si="15"/>
        <v>194</v>
      </c>
      <c r="P135">
        <f>5 * 60 + 45 - 20</f>
        <v>325</v>
      </c>
    </row>
    <row r="169" spans="5:5">
      <c r="E169" s="45">
        <v>0.10469907407407408</v>
      </c>
    </row>
    <row r="170" spans="5:5">
      <c r="E170" s="45">
        <v>0.10890046296296296</v>
      </c>
    </row>
    <row r="171" spans="5:5">
      <c r="E171" s="45">
        <f>E170-E169</f>
        <v>4.2013888888888795E-3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3"/>
  <sheetViews>
    <sheetView topLeftCell="A108" zoomScale="125" zoomScaleNormal="125" zoomScalePageLayoutView="125" workbookViewId="0">
      <selection activeCell="E144" sqref="E144"/>
    </sheetView>
  </sheetViews>
  <sheetFormatPr baseColWidth="10" defaultRowHeight="12" x14ac:dyDescent="0"/>
  <sheetData>
    <row r="1" spans="1:14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4" t="s">
        <v>12</v>
      </c>
      <c r="G1" s="4" t="s">
        <v>13</v>
      </c>
      <c r="H1" s="5" t="s">
        <v>17</v>
      </c>
      <c r="I1" s="1" t="s">
        <v>18</v>
      </c>
      <c r="J1" s="1" t="s">
        <v>19</v>
      </c>
      <c r="K1" s="1" t="s">
        <v>20</v>
      </c>
      <c r="L1" s="1" t="s">
        <v>21</v>
      </c>
      <c r="M1" s="7" t="s">
        <v>23</v>
      </c>
      <c r="N1" s="9" t="s">
        <v>28</v>
      </c>
    </row>
    <row r="2" spans="1:14" ht="15.75" customHeight="1">
      <c r="A2" s="6">
        <v>113</v>
      </c>
      <c r="B2" s="6">
        <v>50</v>
      </c>
      <c r="C2" s="6">
        <v>50</v>
      </c>
      <c r="D2" s="6">
        <v>50</v>
      </c>
      <c r="E2" s="6">
        <v>50</v>
      </c>
      <c r="F2" s="6">
        <v>91</v>
      </c>
      <c r="G2" s="6">
        <v>124</v>
      </c>
      <c r="H2" s="21">
        <f t="shared" ref="H2" si="0">AVERAGE(F2:G2)</f>
        <v>107.5</v>
      </c>
      <c r="I2">
        <f>120+42</f>
        <v>162</v>
      </c>
      <c r="J2" s="6">
        <v>90</v>
      </c>
      <c r="K2" s="6">
        <v>109</v>
      </c>
      <c r="L2" s="6">
        <v>121</v>
      </c>
      <c r="M2">
        <f t="shared" ref="M2:M4" si="1">AVERAGE(I2:L2)</f>
        <v>120.5</v>
      </c>
      <c r="N2" s="6">
        <v>330</v>
      </c>
    </row>
    <row r="3" spans="1:14">
      <c r="A3" s="6">
        <v>129</v>
      </c>
      <c r="B3" s="6">
        <v>50</v>
      </c>
      <c r="C3" s="6">
        <v>50</v>
      </c>
      <c r="D3" s="6">
        <v>50</v>
      </c>
      <c r="E3" s="6">
        <v>60</v>
      </c>
      <c r="F3" s="6">
        <v>93</v>
      </c>
      <c r="G3" s="6">
        <v>139</v>
      </c>
      <c r="H3">
        <f>AVERAGE(F3:G3)</f>
        <v>116</v>
      </c>
      <c r="I3" s="6">
        <v>137</v>
      </c>
      <c r="J3" s="6">
        <v>187</v>
      </c>
      <c r="K3" s="6">
        <v>134</v>
      </c>
      <c r="L3" s="6">
        <v>119</v>
      </c>
      <c r="M3">
        <f t="shared" si="1"/>
        <v>144.25</v>
      </c>
      <c r="N3" s="6">
        <v>337</v>
      </c>
    </row>
    <row r="4" spans="1:14">
      <c r="A4" s="12">
        <v>141</v>
      </c>
      <c r="B4" s="6">
        <v>50</v>
      </c>
      <c r="C4" s="6">
        <v>50</v>
      </c>
      <c r="D4" s="6">
        <v>50</v>
      </c>
      <c r="E4" s="6">
        <v>70</v>
      </c>
      <c r="F4" s="6">
        <v>95</v>
      </c>
      <c r="G4" s="6">
        <v>190</v>
      </c>
      <c r="H4">
        <f>AVERAGE(F4:G4)</f>
        <v>142.5</v>
      </c>
      <c r="I4" s="6">
        <v>118</v>
      </c>
      <c r="J4">
        <f>180+41</f>
        <v>221</v>
      </c>
      <c r="K4" s="6">
        <v>117</v>
      </c>
      <c r="L4" s="6">
        <v>87</v>
      </c>
      <c r="M4">
        <f t="shared" si="1"/>
        <v>135.75</v>
      </c>
      <c r="N4" s="6">
        <v>343</v>
      </c>
    </row>
    <row r="32" spans="1:14">
      <c r="A32" s="1" t="s">
        <v>0</v>
      </c>
      <c r="B32" s="2" t="s">
        <v>1</v>
      </c>
      <c r="C32" s="2" t="s">
        <v>2</v>
      </c>
      <c r="D32" s="2" t="s">
        <v>3</v>
      </c>
      <c r="E32" s="2" t="s">
        <v>4</v>
      </c>
      <c r="F32" s="4" t="s">
        <v>12</v>
      </c>
      <c r="G32" s="4" t="s">
        <v>13</v>
      </c>
      <c r="H32" s="5" t="s">
        <v>17</v>
      </c>
      <c r="I32" s="1" t="s">
        <v>18</v>
      </c>
      <c r="J32" s="1" t="s">
        <v>19</v>
      </c>
      <c r="K32" s="1" t="s">
        <v>20</v>
      </c>
      <c r="L32" s="1" t="s">
        <v>21</v>
      </c>
      <c r="M32" s="7" t="s">
        <v>23</v>
      </c>
      <c r="N32" s="9" t="s">
        <v>28</v>
      </c>
    </row>
    <row r="33" spans="1:14">
      <c r="A33" s="6">
        <v>114</v>
      </c>
      <c r="B33" s="6">
        <v>40</v>
      </c>
      <c r="C33" s="6">
        <v>60</v>
      </c>
      <c r="D33" s="6">
        <v>40</v>
      </c>
      <c r="E33" s="6">
        <v>60</v>
      </c>
      <c r="F33" s="6">
        <v>133</v>
      </c>
      <c r="G33" s="6">
        <v>194</v>
      </c>
      <c r="H33" s="21">
        <f t="shared" ref="H33" si="2">AVERAGE(F33:G33)</f>
        <v>163.5</v>
      </c>
      <c r="I33">
        <f>120+38</f>
        <v>158</v>
      </c>
      <c r="J33">
        <f>120+49</f>
        <v>169</v>
      </c>
      <c r="K33" s="6">
        <v>184</v>
      </c>
      <c r="L33" s="6">
        <v>134</v>
      </c>
      <c r="M33">
        <f t="shared" ref="M33:M35" si="3">AVERAGE(I33:L33)</f>
        <v>161.25</v>
      </c>
      <c r="N33" s="6">
        <v>345</v>
      </c>
    </row>
    <row r="34" spans="1:14">
      <c r="A34" s="6">
        <v>133</v>
      </c>
      <c r="B34" s="6">
        <v>40</v>
      </c>
      <c r="C34" s="6">
        <v>60</v>
      </c>
      <c r="D34" s="6">
        <v>40</v>
      </c>
      <c r="E34" s="6">
        <v>70</v>
      </c>
      <c r="F34" s="6">
        <v>111</v>
      </c>
      <c r="G34" s="6">
        <v>197</v>
      </c>
      <c r="H34">
        <f>AVERAGE(F34:G34)</f>
        <v>154</v>
      </c>
      <c r="I34" s="6">
        <v>109</v>
      </c>
      <c r="J34" s="6">
        <v>204</v>
      </c>
      <c r="K34" s="6">
        <v>121</v>
      </c>
      <c r="L34" s="6">
        <v>94</v>
      </c>
      <c r="M34">
        <f t="shared" si="3"/>
        <v>132</v>
      </c>
      <c r="N34" s="6">
        <v>369</v>
      </c>
    </row>
    <row r="35" spans="1:14">
      <c r="A35" s="6">
        <v>136</v>
      </c>
      <c r="B35" s="6">
        <v>40</v>
      </c>
      <c r="C35" s="6">
        <v>60</v>
      </c>
      <c r="D35" s="6">
        <v>40</v>
      </c>
      <c r="E35" s="6">
        <v>80</v>
      </c>
      <c r="F35" s="6">
        <v>128</v>
      </c>
      <c r="G35" s="6">
        <v>212</v>
      </c>
      <c r="H35">
        <f>AVERAGE(F35:G35)</f>
        <v>170</v>
      </c>
      <c r="I35" s="6">
        <v>109</v>
      </c>
      <c r="J35" s="6">
        <v>184</v>
      </c>
      <c r="K35" s="6">
        <v>151</v>
      </c>
      <c r="L35" s="6">
        <v>105</v>
      </c>
      <c r="M35">
        <f t="shared" si="3"/>
        <v>137.25</v>
      </c>
      <c r="N35" s="6">
        <v>356</v>
      </c>
    </row>
    <row r="71" spans="1:14">
      <c r="A71" s="1" t="s">
        <v>0</v>
      </c>
      <c r="B71" s="2" t="s">
        <v>1</v>
      </c>
      <c r="C71" s="2" t="s">
        <v>2</v>
      </c>
      <c r="D71" s="2" t="s">
        <v>3</v>
      </c>
      <c r="E71" s="2" t="s">
        <v>4</v>
      </c>
      <c r="F71" s="4" t="s">
        <v>12</v>
      </c>
      <c r="G71" s="4" t="s">
        <v>13</v>
      </c>
      <c r="H71" s="5" t="s">
        <v>17</v>
      </c>
      <c r="I71" s="1" t="s">
        <v>18</v>
      </c>
      <c r="J71" s="1" t="s">
        <v>19</v>
      </c>
      <c r="K71" s="1" t="s">
        <v>20</v>
      </c>
      <c r="L71" s="1" t="s">
        <v>21</v>
      </c>
      <c r="M71" s="7" t="s">
        <v>23</v>
      </c>
      <c r="N71" s="9" t="s">
        <v>28</v>
      </c>
    </row>
    <row r="72" spans="1:14">
      <c r="A72" s="6">
        <v>115</v>
      </c>
      <c r="B72" s="1">
        <v>30</v>
      </c>
      <c r="C72" s="1">
        <v>70</v>
      </c>
      <c r="D72" s="6">
        <v>30</v>
      </c>
      <c r="E72" s="6">
        <v>70</v>
      </c>
      <c r="F72" s="6">
        <v>113</v>
      </c>
      <c r="G72" s="6">
        <v>240</v>
      </c>
      <c r="H72" s="21">
        <f t="shared" ref="H72" si="4">AVERAGE(F72:G72)</f>
        <v>176.5</v>
      </c>
      <c r="I72" s="6">
        <v>152</v>
      </c>
      <c r="J72" s="6">
        <v>114</v>
      </c>
      <c r="K72" s="6">
        <v>161</v>
      </c>
      <c r="L72" s="6">
        <v>131</v>
      </c>
      <c r="M72">
        <f t="shared" ref="M72" si="5">AVERAGE(I72:L72)</f>
        <v>139.5</v>
      </c>
      <c r="N72" s="6">
        <v>351</v>
      </c>
    </row>
    <row r="73" spans="1:14">
      <c r="A73" s="27">
        <v>165</v>
      </c>
      <c r="B73" s="6">
        <v>30</v>
      </c>
      <c r="C73" s="6">
        <v>70</v>
      </c>
      <c r="D73" s="6">
        <v>30</v>
      </c>
      <c r="E73" s="6">
        <v>80</v>
      </c>
      <c r="F73">
        <v>161</v>
      </c>
      <c r="G73" s="6">
        <v>251</v>
      </c>
      <c r="H73">
        <v>206</v>
      </c>
      <c r="I73">
        <v>116</v>
      </c>
      <c r="J73">
        <v>223</v>
      </c>
      <c r="K73">
        <v>160</v>
      </c>
      <c r="L73">
        <v>65</v>
      </c>
      <c r="M73">
        <v>141</v>
      </c>
      <c r="N73">
        <v>329</v>
      </c>
    </row>
    <row r="74" spans="1:14" s="56" customFormat="1">
      <c r="A74" s="43">
        <v>163</v>
      </c>
      <c r="B74" s="54">
        <v>30</v>
      </c>
      <c r="C74" s="54">
        <v>70</v>
      </c>
      <c r="D74" s="54">
        <v>30</v>
      </c>
      <c r="E74" s="54">
        <v>90</v>
      </c>
      <c r="F74" s="55">
        <v>170</v>
      </c>
      <c r="G74" s="55">
        <v>271</v>
      </c>
      <c r="H74" s="55">
        <v>220.5</v>
      </c>
      <c r="I74" s="55">
        <v>144</v>
      </c>
      <c r="J74" s="56">
        <v>100</v>
      </c>
      <c r="K74" s="55">
        <v>123</v>
      </c>
      <c r="L74" s="55">
        <v>120</v>
      </c>
      <c r="M74" s="56">
        <v>121.75</v>
      </c>
      <c r="N74" s="56">
        <v>323</v>
      </c>
    </row>
    <row r="98" spans="1:15" ht="15.75" customHeight="1">
      <c r="A98" s="1" t="s">
        <v>0</v>
      </c>
      <c r="B98" s="2" t="s">
        <v>1</v>
      </c>
      <c r="C98" s="2" t="s">
        <v>2</v>
      </c>
      <c r="D98" s="2" t="s">
        <v>3</v>
      </c>
      <c r="E98" s="2" t="s">
        <v>4</v>
      </c>
      <c r="F98" s="4" t="s">
        <v>12</v>
      </c>
      <c r="G98" s="4" t="s">
        <v>13</v>
      </c>
      <c r="H98" s="5" t="s">
        <v>17</v>
      </c>
      <c r="I98" s="1" t="s">
        <v>18</v>
      </c>
      <c r="J98" s="1" t="s">
        <v>19</v>
      </c>
      <c r="K98" s="1" t="s">
        <v>20</v>
      </c>
      <c r="L98" s="1" t="s">
        <v>21</v>
      </c>
      <c r="M98" s="7" t="s">
        <v>23</v>
      </c>
      <c r="N98" s="9" t="s">
        <v>28</v>
      </c>
    </row>
    <row r="99" spans="1:15">
      <c r="A99" s="1">
        <v>116</v>
      </c>
      <c r="B99" s="1">
        <v>20</v>
      </c>
      <c r="C99" s="1">
        <v>80</v>
      </c>
      <c r="D99" s="1">
        <v>20</v>
      </c>
      <c r="E99" s="1">
        <v>80</v>
      </c>
      <c r="F99" s="21">
        <f>120+47</f>
        <v>167</v>
      </c>
      <c r="G99" s="1">
        <v>305</v>
      </c>
      <c r="H99" s="21">
        <f t="shared" ref="H99" si="6">AVERAGE(F99:G99)</f>
        <v>236</v>
      </c>
      <c r="I99" s="1">
        <v>99</v>
      </c>
      <c r="J99" s="1">
        <v>93</v>
      </c>
      <c r="K99" s="1">
        <v>150</v>
      </c>
      <c r="L99" s="1">
        <v>110</v>
      </c>
      <c r="M99" s="21">
        <f t="shared" ref="M99" si="7">AVERAGE(I99:L99)</f>
        <v>113</v>
      </c>
      <c r="N99" s="1">
        <v>299</v>
      </c>
    </row>
    <row r="100" spans="1:15" ht="15.75" customHeight="1">
      <c r="A100" s="6">
        <v>146</v>
      </c>
      <c r="B100" s="6">
        <v>20</v>
      </c>
      <c r="C100" s="6">
        <v>80</v>
      </c>
      <c r="D100" s="6">
        <v>20</v>
      </c>
      <c r="E100" s="6">
        <v>90</v>
      </c>
      <c r="F100" s="6" t="s">
        <v>41</v>
      </c>
      <c r="G100" s="6" t="s">
        <v>41</v>
      </c>
      <c r="H100" s="6" t="s">
        <v>44</v>
      </c>
      <c r="I100" s="6">
        <v>138</v>
      </c>
      <c r="J100" s="6">
        <v>107</v>
      </c>
      <c r="K100" s="6">
        <v>84</v>
      </c>
      <c r="L100" s="6">
        <v>130</v>
      </c>
      <c r="M100">
        <f>AVERAGE(I100:L100)</f>
        <v>114.75</v>
      </c>
      <c r="N100" t="s">
        <v>41</v>
      </c>
    </row>
    <row r="101" spans="1:15" ht="15.75" customHeight="1">
      <c r="A101" s="31">
        <v>164</v>
      </c>
      <c r="B101" s="31">
        <v>20</v>
      </c>
      <c r="C101" s="31">
        <v>80</v>
      </c>
      <c r="D101" s="31">
        <v>20</v>
      </c>
      <c r="E101" s="31">
        <v>100</v>
      </c>
      <c r="F101" s="33" t="s">
        <v>41</v>
      </c>
      <c r="G101" s="33" t="s">
        <v>41</v>
      </c>
      <c r="H101" s="53" t="s">
        <v>44</v>
      </c>
      <c r="I101" s="33">
        <v>197</v>
      </c>
      <c r="J101" s="33">
        <v>113</v>
      </c>
      <c r="K101" s="33">
        <v>85</v>
      </c>
      <c r="L101" s="33">
        <v>90</v>
      </c>
      <c r="M101">
        <f>AVERAGE(I101:L101)</f>
        <v>121.25</v>
      </c>
      <c r="N101" t="s">
        <v>41</v>
      </c>
    </row>
    <row r="110" spans="1:15">
      <c r="A110" s="1" t="s">
        <v>0</v>
      </c>
      <c r="B110" s="2" t="s">
        <v>1</v>
      </c>
      <c r="C110" s="2" t="s">
        <v>2</v>
      </c>
      <c r="D110" s="2" t="s">
        <v>3</v>
      </c>
      <c r="E110" s="2" t="s">
        <v>4</v>
      </c>
      <c r="F110" s="4" t="s">
        <v>12</v>
      </c>
      <c r="G110" s="4" t="s">
        <v>13</v>
      </c>
      <c r="H110" s="5" t="s">
        <v>17</v>
      </c>
      <c r="I110" s="1" t="s">
        <v>18</v>
      </c>
      <c r="J110" s="1" t="s">
        <v>19</v>
      </c>
      <c r="K110" s="1" t="s">
        <v>20</v>
      </c>
      <c r="L110" s="1" t="s">
        <v>21</v>
      </c>
      <c r="M110" s="7" t="s">
        <v>23</v>
      </c>
      <c r="N110" s="9" t="s">
        <v>28</v>
      </c>
    </row>
    <row r="111" spans="1:15">
      <c r="A111" s="6">
        <v>118</v>
      </c>
      <c r="B111" s="6">
        <v>10</v>
      </c>
      <c r="C111" s="6">
        <v>90</v>
      </c>
      <c r="D111" s="6">
        <v>10</v>
      </c>
      <c r="E111" s="6">
        <v>90</v>
      </c>
      <c r="F111" s="57">
        <v>700</v>
      </c>
      <c r="G111" s="57">
        <v>700</v>
      </c>
      <c r="H111" s="58">
        <f t="shared" ref="H111" si="8">AVERAGE(F111:G111)</f>
        <v>700</v>
      </c>
      <c r="I111" s="6">
        <v>105</v>
      </c>
      <c r="J111" s="6">
        <v>73</v>
      </c>
      <c r="K111" s="6">
        <v>92</v>
      </c>
      <c r="L111" s="6">
        <v>88</v>
      </c>
      <c r="M111">
        <f t="shared" ref="M111" si="9">AVERAGE(I111:L111)</f>
        <v>89.5</v>
      </c>
      <c r="N111" s="57">
        <v>700</v>
      </c>
      <c r="O111" s="51"/>
    </row>
    <row r="112" spans="1:15">
      <c r="A112" s="6">
        <v>150</v>
      </c>
      <c r="B112" s="6">
        <v>10</v>
      </c>
      <c r="C112" s="6">
        <v>90</v>
      </c>
      <c r="D112" s="6">
        <v>20</v>
      </c>
      <c r="E112" s="6">
        <v>90</v>
      </c>
      <c r="F112" s="6">
        <v>318</v>
      </c>
      <c r="G112">
        <f>8*60+32</f>
        <v>512</v>
      </c>
      <c r="H112">
        <f>AVERAGE(F112:G112)</f>
        <v>415</v>
      </c>
      <c r="I112" s="6">
        <v>84</v>
      </c>
      <c r="J112" s="6">
        <v>165</v>
      </c>
      <c r="K112" s="6">
        <v>184</v>
      </c>
      <c r="L112" s="6">
        <v>104</v>
      </c>
      <c r="M112">
        <f t="shared" ref="M112:M113" si="10">AVERAGE(I112:L112)</f>
        <v>134.25</v>
      </c>
      <c r="N112">
        <f>8*60+58</f>
        <v>538</v>
      </c>
    </row>
    <row r="113" spans="1:14">
      <c r="A113" s="6">
        <v>156</v>
      </c>
      <c r="B113" s="6">
        <v>10</v>
      </c>
      <c r="C113" s="6">
        <v>90</v>
      </c>
      <c r="D113" s="6">
        <v>30</v>
      </c>
      <c r="E113" s="6">
        <v>90</v>
      </c>
      <c r="F113" s="6">
        <v>322</v>
      </c>
      <c r="G113">
        <f>8*60+18</f>
        <v>498</v>
      </c>
      <c r="H113">
        <f>AVERAGE(F113:G113)</f>
        <v>410</v>
      </c>
      <c r="I113" s="6">
        <v>106</v>
      </c>
      <c r="J113" s="6">
        <v>119</v>
      </c>
      <c r="K113" s="6">
        <v>96</v>
      </c>
      <c r="L113" s="6">
        <v>95</v>
      </c>
      <c r="M113">
        <f t="shared" si="10"/>
        <v>104</v>
      </c>
      <c r="N113">
        <f>8*60+49</f>
        <v>529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2"/>
  <sheetViews>
    <sheetView workbookViewId="0">
      <selection activeCell="O30" sqref="O30"/>
    </sheetView>
  </sheetViews>
  <sheetFormatPr baseColWidth="10" defaultRowHeight="12" x14ac:dyDescent="0"/>
  <sheetData>
    <row r="1" spans="1:26" ht="13" thickBo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7</v>
      </c>
      <c r="H1" s="3"/>
      <c r="I1" s="3" t="s">
        <v>8</v>
      </c>
      <c r="J1" s="3" t="s">
        <v>9</v>
      </c>
      <c r="K1" s="3" t="s">
        <v>10</v>
      </c>
      <c r="L1" s="3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5" t="s">
        <v>85</v>
      </c>
      <c r="S1" s="1" t="s">
        <v>18</v>
      </c>
      <c r="T1" s="1" t="s">
        <v>19</v>
      </c>
      <c r="U1" s="61" t="s">
        <v>86</v>
      </c>
      <c r="V1" s="62" t="s">
        <v>84</v>
      </c>
      <c r="W1" s="6" t="s">
        <v>40</v>
      </c>
      <c r="X1" s="5" t="s">
        <v>87</v>
      </c>
      <c r="Y1" s="61" t="s">
        <v>88</v>
      </c>
      <c r="Z1" s="62" t="s">
        <v>89</v>
      </c>
    </row>
    <row r="2" spans="1:26" ht="17" thickBot="1">
      <c r="A2" s="6">
        <v>117</v>
      </c>
      <c r="B2" s="6">
        <v>50</v>
      </c>
      <c r="C2">
        <f t="shared" ref="C2:C6" si="0">100-B2</f>
        <v>50</v>
      </c>
      <c r="D2" s="6">
        <v>50</v>
      </c>
      <c r="E2">
        <f t="shared" ref="E2:E6" si="1">100-D2</f>
        <v>50</v>
      </c>
      <c r="F2" s="6">
        <v>5</v>
      </c>
      <c r="G2" s="6">
        <v>2</v>
      </c>
      <c r="I2" s="6">
        <v>18</v>
      </c>
      <c r="J2" s="6">
        <v>1</v>
      </c>
      <c r="K2" s="6">
        <v>5</v>
      </c>
      <c r="L2" s="6">
        <v>0</v>
      </c>
      <c r="M2" s="6">
        <v>105</v>
      </c>
      <c r="N2" s="6">
        <v>207</v>
      </c>
      <c r="O2" s="6">
        <v>199</v>
      </c>
      <c r="P2" s="6">
        <v>208</v>
      </c>
      <c r="Q2" s="6">
        <v>216</v>
      </c>
      <c r="R2">
        <f t="shared" ref="R2:R6" si="2">(M2 + N2 + O2 + P2 + Q2) / 5</f>
        <v>187</v>
      </c>
      <c r="S2" s="6">
        <v>157</v>
      </c>
      <c r="T2" s="6">
        <v>203</v>
      </c>
      <c r="U2">
        <f t="shared" ref="U2:U6" si="3">(S2 + T2) / 2</f>
        <v>180</v>
      </c>
      <c r="V2">
        <f>3 * 60 - 7 + 3 * 60 + 39</f>
        <v>392</v>
      </c>
      <c r="X2" s="46">
        <v>190.8</v>
      </c>
      <c r="Y2" s="46">
        <v>111.5</v>
      </c>
      <c r="Z2" s="46">
        <v>411</v>
      </c>
    </row>
    <row r="3" spans="1:26" ht="17" thickBot="1">
      <c r="A3" s="1">
        <v>119</v>
      </c>
      <c r="B3" s="1">
        <v>60</v>
      </c>
      <c r="C3" s="59">
        <f t="shared" si="0"/>
        <v>40</v>
      </c>
      <c r="D3" s="1">
        <v>60</v>
      </c>
      <c r="E3" s="59">
        <f t="shared" si="1"/>
        <v>40</v>
      </c>
      <c r="F3" s="1">
        <v>5</v>
      </c>
      <c r="G3" s="1">
        <v>2</v>
      </c>
      <c r="H3" s="59"/>
      <c r="I3" s="1">
        <v>18</v>
      </c>
      <c r="J3" s="1">
        <v>1</v>
      </c>
      <c r="K3" s="1">
        <v>5</v>
      </c>
      <c r="L3" s="1">
        <v>0</v>
      </c>
      <c r="M3" s="1">
        <v>86</v>
      </c>
      <c r="N3" s="1">
        <v>108</v>
      </c>
      <c r="O3" s="1">
        <v>121</v>
      </c>
      <c r="P3" s="1">
        <v>143</v>
      </c>
      <c r="Q3" s="1">
        <v>151</v>
      </c>
      <c r="R3" s="59">
        <f t="shared" si="2"/>
        <v>121.8</v>
      </c>
      <c r="S3" s="1">
        <v>174</v>
      </c>
      <c r="T3" s="1">
        <v>159</v>
      </c>
      <c r="U3" s="59">
        <f t="shared" si="3"/>
        <v>166.5</v>
      </c>
      <c r="V3" s="1">
        <f>5 * 60 + 66 - 24</f>
        <v>342</v>
      </c>
      <c r="W3" s="59"/>
      <c r="X3" s="46">
        <v>164</v>
      </c>
      <c r="Y3" s="46">
        <v>128</v>
      </c>
      <c r="Z3" s="46">
        <v>356</v>
      </c>
    </row>
    <row r="4" spans="1:26" ht="17" thickBot="1">
      <c r="A4" s="6">
        <v>120</v>
      </c>
      <c r="B4" s="6">
        <v>70</v>
      </c>
      <c r="C4">
        <f t="shared" si="0"/>
        <v>30</v>
      </c>
      <c r="D4" s="6">
        <v>70</v>
      </c>
      <c r="E4">
        <f t="shared" si="1"/>
        <v>30</v>
      </c>
      <c r="F4" s="6">
        <v>5</v>
      </c>
      <c r="G4" s="6">
        <v>2</v>
      </c>
      <c r="I4" s="6">
        <v>18</v>
      </c>
      <c r="J4" s="6">
        <v>1</v>
      </c>
      <c r="K4" s="6">
        <v>5</v>
      </c>
      <c r="L4" s="6">
        <v>0</v>
      </c>
      <c r="M4" s="6">
        <v>74</v>
      </c>
      <c r="N4" s="6">
        <v>137</v>
      </c>
      <c r="O4" s="6">
        <v>130</v>
      </c>
      <c r="P4" s="6">
        <v>125</v>
      </c>
      <c r="Q4" s="6">
        <v>167</v>
      </c>
      <c r="R4">
        <f t="shared" si="2"/>
        <v>126.6</v>
      </c>
      <c r="S4" s="6">
        <v>187</v>
      </c>
      <c r="T4" s="6">
        <v>283</v>
      </c>
      <c r="U4">
        <f t="shared" si="3"/>
        <v>235</v>
      </c>
      <c r="V4">
        <f>6 * 60 + 2</f>
        <v>362</v>
      </c>
      <c r="X4" s="46">
        <v>152.80000000000001</v>
      </c>
      <c r="Y4" s="46">
        <v>167</v>
      </c>
      <c r="Z4" s="46">
        <v>362</v>
      </c>
    </row>
    <row r="5" spans="1:26" ht="17" thickBot="1">
      <c r="A5" s="6">
        <v>121</v>
      </c>
      <c r="B5" s="6">
        <v>80</v>
      </c>
      <c r="C5">
        <f t="shared" si="0"/>
        <v>20</v>
      </c>
      <c r="D5" s="6">
        <v>80</v>
      </c>
      <c r="E5">
        <f t="shared" si="1"/>
        <v>20</v>
      </c>
      <c r="F5" s="6">
        <v>5</v>
      </c>
      <c r="G5" s="6">
        <v>2</v>
      </c>
      <c r="I5" s="6">
        <v>18</v>
      </c>
      <c r="J5" s="6">
        <v>1</v>
      </c>
      <c r="K5" s="6">
        <v>5</v>
      </c>
      <c r="L5" s="6">
        <v>0</v>
      </c>
      <c r="M5" s="6">
        <v>87</v>
      </c>
      <c r="N5" s="6">
        <v>117</v>
      </c>
      <c r="O5" s="6">
        <v>124</v>
      </c>
      <c r="P5" s="6">
        <v>123</v>
      </c>
      <c r="Q5" s="6">
        <v>140</v>
      </c>
      <c r="R5">
        <f t="shared" si="2"/>
        <v>118.2</v>
      </c>
      <c r="S5" s="6">
        <v>250</v>
      </c>
      <c r="T5" s="6">
        <v>212</v>
      </c>
      <c r="U5">
        <f t="shared" si="3"/>
        <v>231</v>
      </c>
      <c r="V5">
        <f>6 * 60 + 59 - 34</f>
        <v>385</v>
      </c>
      <c r="X5" s="46">
        <v>114.2</v>
      </c>
      <c r="Y5" s="46">
        <v>183</v>
      </c>
      <c r="Z5" s="46">
        <v>343</v>
      </c>
    </row>
    <row r="6" spans="1:26" ht="17" thickBot="1">
      <c r="A6" s="6">
        <v>122</v>
      </c>
      <c r="B6" s="6">
        <v>90</v>
      </c>
      <c r="C6">
        <f t="shared" si="0"/>
        <v>10</v>
      </c>
      <c r="D6" s="6">
        <v>90</v>
      </c>
      <c r="E6">
        <f t="shared" si="1"/>
        <v>10</v>
      </c>
      <c r="F6" s="6">
        <v>5</v>
      </c>
      <c r="G6" s="6">
        <v>2</v>
      </c>
      <c r="I6" s="6">
        <v>18</v>
      </c>
      <c r="J6" s="6">
        <v>1</v>
      </c>
      <c r="K6" s="6">
        <v>5</v>
      </c>
      <c r="L6" s="6">
        <v>0</v>
      </c>
      <c r="M6" s="6">
        <v>90</v>
      </c>
      <c r="N6" s="6">
        <v>115</v>
      </c>
      <c r="O6" s="6">
        <v>101</v>
      </c>
      <c r="P6" s="6">
        <v>121</v>
      </c>
      <c r="Q6" s="6">
        <v>109</v>
      </c>
      <c r="R6">
        <f t="shared" si="2"/>
        <v>107.2</v>
      </c>
      <c r="S6" s="43">
        <v>500</v>
      </c>
      <c r="T6" s="43">
        <v>500</v>
      </c>
      <c r="U6">
        <f t="shared" si="3"/>
        <v>500</v>
      </c>
      <c r="V6">
        <v>500</v>
      </c>
      <c r="X6" s="46">
        <v>100.2</v>
      </c>
      <c r="Y6" s="60">
        <v>500</v>
      </c>
      <c r="Z6" s="47">
        <v>500</v>
      </c>
    </row>
    <row r="7" spans="1:26" ht="13" thickBot="1"/>
    <row r="8" spans="1:26" ht="17" thickBot="1">
      <c r="A8" s="46">
        <v>158</v>
      </c>
      <c r="B8" s="46">
        <v>50</v>
      </c>
      <c r="C8" s="46">
        <v>50</v>
      </c>
      <c r="D8" s="46">
        <v>50</v>
      </c>
      <c r="E8" s="46">
        <v>50</v>
      </c>
      <c r="F8" s="46">
        <v>5</v>
      </c>
      <c r="G8" s="46">
        <v>2</v>
      </c>
      <c r="H8" s="47"/>
      <c r="I8" s="47"/>
      <c r="J8" s="47"/>
      <c r="K8" s="47"/>
      <c r="L8" s="47"/>
      <c r="M8" s="46">
        <v>110</v>
      </c>
      <c r="N8" s="46">
        <v>169</v>
      </c>
      <c r="O8" s="46">
        <v>190</v>
      </c>
      <c r="P8" s="46">
        <v>222</v>
      </c>
      <c r="Q8" s="46">
        <v>263</v>
      </c>
      <c r="R8" s="46">
        <v>190.8</v>
      </c>
      <c r="S8" s="46">
        <v>89</v>
      </c>
      <c r="T8" s="46">
        <v>134</v>
      </c>
      <c r="U8" s="46">
        <v>111.5</v>
      </c>
      <c r="V8" s="46">
        <v>411</v>
      </c>
    </row>
    <row r="9" spans="1:26" ht="17" thickBot="1">
      <c r="A9" s="46">
        <v>159</v>
      </c>
      <c r="B9" s="46">
        <v>60</v>
      </c>
      <c r="C9" s="46">
        <v>40</v>
      </c>
      <c r="D9" s="46">
        <v>60</v>
      </c>
      <c r="E9" s="46">
        <v>40</v>
      </c>
      <c r="F9" s="46">
        <v>5</v>
      </c>
      <c r="G9" s="46">
        <v>2</v>
      </c>
      <c r="H9" s="60"/>
      <c r="I9" s="60"/>
      <c r="J9" s="60"/>
      <c r="K9" s="60"/>
      <c r="L9" s="60"/>
      <c r="M9" s="46">
        <v>113</v>
      </c>
      <c r="N9" s="46">
        <v>185</v>
      </c>
      <c r="O9" s="46">
        <v>174</v>
      </c>
      <c r="P9" s="46">
        <v>169</v>
      </c>
      <c r="Q9" s="46">
        <v>179</v>
      </c>
      <c r="R9" s="46">
        <v>164</v>
      </c>
      <c r="S9" s="46">
        <v>108</v>
      </c>
      <c r="T9" s="46">
        <v>148</v>
      </c>
      <c r="U9" s="46">
        <v>128</v>
      </c>
      <c r="V9" s="46">
        <v>356</v>
      </c>
    </row>
    <row r="10" spans="1:26" ht="17" thickBot="1">
      <c r="A10" s="46">
        <v>160</v>
      </c>
      <c r="B10" s="46">
        <v>70</v>
      </c>
      <c r="C10" s="46">
        <v>30</v>
      </c>
      <c r="D10" s="46">
        <v>70</v>
      </c>
      <c r="E10" s="46">
        <v>30</v>
      </c>
      <c r="F10" s="46">
        <v>5</v>
      </c>
      <c r="G10" s="46">
        <v>2</v>
      </c>
      <c r="H10" s="60"/>
      <c r="I10" s="60"/>
      <c r="J10" s="60"/>
      <c r="K10" s="60"/>
      <c r="L10" s="60"/>
      <c r="M10" s="46">
        <v>104</v>
      </c>
      <c r="N10" s="46">
        <v>167</v>
      </c>
      <c r="O10" s="46">
        <v>150</v>
      </c>
      <c r="P10" s="46">
        <v>160</v>
      </c>
      <c r="Q10" s="46">
        <v>183</v>
      </c>
      <c r="R10" s="46">
        <v>152.80000000000001</v>
      </c>
      <c r="S10" s="46">
        <v>160</v>
      </c>
      <c r="T10" s="46">
        <v>174</v>
      </c>
      <c r="U10" s="46">
        <v>167</v>
      </c>
      <c r="V10" s="46">
        <v>362</v>
      </c>
    </row>
    <row r="11" spans="1:26" ht="17" thickBot="1">
      <c r="A11" s="46">
        <v>161</v>
      </c>
      <c r="B11" s="46">
        <v>80</v>
      </c>
      <c r="C11" s="46">
        <v>20</v>
      </c>
      <c r="D11" s="46">
        <v>80</v>
      </c>
      <c r="E11" s="46">
        <v>20</v>
      </c>
      <c r="F11" s="46">
        <v>5</v>
      </c>
      <c r="G11" s="46">
        <v>2</v>
      </c>
      <c r="H11" s="60"/>
      <c r="I11" s="60"/>
      <c r="J11" s="60"/>
      <c r="K11" s="60"/>
      <c r="L11" s="60"/>
      <c r="M11" s="46">
        <v>91</v>
      </c>
      <c r="N11" s="46">
        <v>117</v>
      </c>
      <c r="O11" s="46">
        <v>102</v>
      </c>
      <c r="P11" s="46">
        <v>134</v>
      </c>
      <c r="Q11" s="46">
        <v>127</v>
      </c>
      <c r="R11" s="46">
        <v>114.2</v>
      </c>
      <c r="S11" s="46">
        <v>181</v>
      </c>
      <c r="T11" s="46">
        <v>185</v>
      </c>
      <c r="U11" s="46">
        <v>183</v>
      </c>
      <c r="V11" s="46">
        <v>343</v>
      </c>
    </row>
    <row r="12" spans="1:26" ht="17" thickBot="1">
      <c r="A12" s="46">
        <v>162</v>
      </c>
      <c r="B12" s="46">
        <v>90</v>
      </c>
      <c r="C12" s="46">
        <v>10</v>
      </c>
      <c r="D12" s="46">
        <v>90</v>
      </c>
      <c r="E12" s="46">
        <v>10</v>
      </c>
      <c r="F12" s="46">
        <v>5</v>
      </c>
      <c r="G12" s="46">
        <v>2</v>
      </c>
      <c r="H12" s="60"/>
      <c r="I12" s="60"/>
      <c r="J12" s="60"/>
      <c r="K12" s="60"/>
      <c r="L12" s="60"/>
      <c r="M12" s="46">
        <v>63</v>
      </c>
      <c r="N12" s="46">
        <v>95</v>
      </c>
      <c r="O12" s="46">
        <v>106</v>
      </c>
      <c r="P12" s="46">
        <v>113</v>
      </c>
      <c r="Q12" s="46">
        <v>124</v>
      </c>
      <c r="R12" s="46">
        <v>100.2</v>
      </c>
      <c r="S12" s="47" t="s">
        <v>41</v>
      </c>
      <c r="T12" s="47" t="s">
        <v>41</v>
      </c>
      <c r="U12" s="60">
        <v>500</v>
      </c>
      <c r="V12" s="47" t="s">
        <v>83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workbookViewId="0">
      <selection activeCell="F29" sqref="F29"/>
    </sheetView>
  </sheetViews>
  <sheetFormatPr baseColWidth="10" defaultRowHeight="12" x14ac:dyDescent="0"/>
  <cols>
    <col min="1" max="1" width="12.6640625" customWidth="1"/>
    <col min="2" max="2" width="15.6640625" customWidth="1"/>
    <col min="3" max="3" width="13.83203125" customWidth="1"/>
    <col min="4" max="4" width="14.33203125" customWidth="1"/>
    <col min="5" max="5" width="18.33203125" customWidth="1"/>
  </cols>
  <sheetData>
    <row r="1" spans="1:10" ht="19" customHeight="1">
      <c r="A1" s="80" t="s">
        <v>1</v>
      </c>
      <c r="B1" s="80" t="s">
        <v>2</v>
      </c>
      <c r="C1" s="80" t="s">
        <v>3</v>
      </c>
      <c r="D1" s="80" t="s">
        <v>4</v>
      </c>
      <c r="E1" s="80" t="s">
        <v>28</v>
      </c>
    </row>
    <row r="2" spans="1:10">
      <c r="A2" s="81">
        <v>0.6</v>
      </c>
      <c r="B2" s="94">
        <f>100%-A2</f>
        <v>0.4</v>
      </c>
      <c r="C2" s="82">
        <v>0.6</v>
      </c>
      <c r="D2" s="94">
        <f>100%-C2</f>
        <v>0.4</v>
      </c>
      <c r="E2" s="79">
        <f>5 * 60 + 66 - 24</f>
        <v>342</v>
      </c>
    </row>
    <row r="3" spans="1:10">
      <c r="A3" s="63"/>
      <c r="B3" s="63"/>
      <c r="C3" s="63"/>
      <c r="D3" s="63"/>
      <c r="E3" s="63"/>
    </row>
    <row r="4" spans="1:10">
      <c r="A4" s="83">
        <v>0.7</v>
      </c>
      <c r="B4" s="86">
        <v>0.3</v>
      </c>
      <c r="C4" s="86">
        <f>A4</f>
        <v>0.7</v>
      </c>
      <c r="D4" s="93">
        <f>100%-C4</f>
        <v>0.30000000000000004</v>
      </c>
      <c r="E4" s="68">
        <v>315</v>
      </c>
    </row>
    <row r="5" spans="1:10">
      <c r="A5" s="84">
        <v>0.7</v>
      </c>
      <c r="B5" s="87">
        <v>0.3</v>
      </c>
      <c r="C5" s="90">
        <f t="shared" ref="C5:C8" si="0">A5</f>
        <v>0.7</v>
      </c>
      <c r="D5" s="90">
        <f t="shared" ref="D5:D8" si="1">100%-C5</f>
        <v>0.30000000000000004</v>
      </c>
      <c r="E5" s="70">
        <f>6 * 60 + 24 - 51</f>
        <v>333</v>
      </c>
    </row>
    <row r="6" spans="1:10">
      <c r="A6" s="85">
        <v>0.8</v>
      </c>
      <c r="B6" s="88">
        <v>0.2</v>
      </c>
      <c r="C6" s="91">
        <f t="shared" si="0"/>
        <v>0.8</v>
      </c>
      <c r="D6" s="91">
        <f t="shared" si="1"/>
        <v>0.19999999999999996</v>
      </c>
      <c r="E6" s="72">
        <f>60 * 6 + 1 - 34</f>
        <v>327</v>
      </c>
    </row>
    <row r="7" spans="1:10">
      <c r="A7" s="85">
        <v>0.8</v>
      </c>
      <c r="B7" s="88">
        <v>0.2</v>
      </c>
      <c r="C7" s="91">
        <f t="shared" si="0"/>
        <v>0.8</v>
      </c>
      <c r="D7" s="91">
        <f t="shared" si="1"/>
        <v>0.19999999999999996</v>
      </c>
      <c r="E7" s="72">
        <f>6 * 60 + 37 - 33</f>
        <v>364</v>
      </c>
    </row>
    <row r="8" spans="1:10">
      <c r="A8" s="85">
        <v>0.8</v>
      </c>
      <c r="B8" s="89">
        <v>0.2</v>
      </c>
      <c r="C8" s="92">
        <f t="shared" si="0"/>
        <v>0.8</v>
      </c>
      <c r="D8" s="92">
        <f t="shared" si="1"/>
        <v>0.19999999999999996</v>
      </c>
      <c r="E8" s="75">
        <f>5 * 60 + 45 - 20</f>
        <v>325</v>
      </c>
    </row>
    <row r="14" spans="1:10">
      <c r="F14" s="76" t="s">
        <v>1</v>
      </c>
      <c r="G14" s="76" t="s">
        <v>2</v>
      </c>
      <c r="H14" s="76" t="s">
        <v>3</v>
      </c>
      <c r="I14" s="76" t="s">
        <v>4</v>
      </c>
      <c r="J14" s="76" t="s">
        <v>28</v>
      </c>
    </row>
    <row r="15" spans="1:10">
      <c r="F15" s="77">
        <v>60</v>
      </c>
      <c r="G15" s="78">
        <f t="shared" ref="G15" si="2">100-F15</f>
        <v>40</v>
      </c>
      <c r="H15" s="78">
        <v>60</v>
      </c>
      <c r="I15" s="78">
        <f t="shared" ref="I15" si="3">100-H15</f>
        <v>40</v>
      </c>
      <c r="J15" s="79">
        <f>5 * 60 + 66 - 24</f>
        <v>342</v>
      </c>
    </row>
    <row r="16" spans="1:10">
      <c r="F16" s="63"/>
      <c r="G16" s="63"/>
      <c r="H16" s="63"/>
      <c r="I16" s="63"/>
      <c r="J16" s="63"/>
    </row>
    <row r="17" spans="6:10">
      <c r="F17" s="66">
        <v>70</v>
      </c>
      <c r="G17" s="67">
        <v>30</v>
      </c>
      <c r="H17" s="67">
        <v>70</v>
      </c>
      <c r="I17" s="67">
        <v>40</v>
      </c>
      <c r="J17" s="68">
        <v>315</v>
      </c>
    </row>
    <row r="18" spans="6:10">
      <c r="F18" s="69">
        <v>70</v>
      </c>
      <c r="G18" s="65">
        <v>30</v>
      </c>
      <c r="H18" s="65">
        <v>70</v>
      </c>
      <c r="I18" s="65">
        <v>50</v>
      </c>
      <c r="J18" s="70">
        <f>6 * 60 + 24 - 51</f>
        <v>333</v>
      </c>
    </row>
    <row r="19" spans="6:10">
      <c r="F19" s="71">
        <v>80</v>
      </c>
      <c r="G19" s="64">
        <v>20</v>
      </c>
      <c r="H19" s="64">
        <v>80</v>
      </c>
      <c r="I19" s="64">
        <v>30</v>
      </c>
      <c r="J19" s="72">
        <f>60 * 6 + 1 - 34</f>
        <v>327</v>
      </c>
    </row>
    <row r="20" spans="6:10">
      <c r="F20" s="71">
        <v>80</v>
      </c>
      <c r="G20" s="64">
        <v>20</v>
      </c>
      <c r="H20" s="64">
        <v>80</v>
      </c>
      <c r="I20" s="64">
        <v>40</v>
      </c>
      <c r="J20" s="72">
        <f>6 * 60 + 37 - 33</f>
        <v>364</v>
      </c>
    </row>
    <row r="21" spans="6:10">
      <c r="F21" s="73">
        <v>80</v>
      </c>
      <c r="G21" s="74">
        <v>20</v>
      </c>
      <c r="H21" s="74">
        <v>80</v>
      </c>
      <c r="I21" s="74">
        <v>50</v>
      </c>
      <c r="J21" s="75">
        <f>5 * 60 + 45 - 20</f>
        <v>325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scenario2</vt:lpstr>
      <vt:lpstr>scenario1</vt:lpstr>
      <vt:lpstr>aws configuration</vt:lpstr>
      <vt:lpstr>scenario 1 plot</vt:lpstr>
      <vt:lpstr>scenario 2 plot</vt:lpstr>
      <vt:lpstr>scenario 1 sched</vt:lpstr>
      <vt:lpstr>Sheet5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Xu Hong</cp:lastModifiedBy>
  <dcterms:modified xsi:type="dcterms:W3CDTF">2015-04-15T06:02:16Z</dcterms:modified>
</cp:coreProperties>
</file>