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водныеintroductory" sheetId="1" r:id="rId4"/>
    <sheet state="visible" name="Конкурентный анализcompetitive " sheetId="2" r:id="rId5"/>
    <sheet state="visible" name="расчет ADR и OccupancyADR and O" sheetId="3" r:id="rId6"/>
    <sheet state="visible" name="Расчет ROIROI calculation" sheetId="4" r:id="rId7"/>
  </sheets>
  <definedNames/>
  <calcPr/>
</workbook>
</file>

<file path=xl/sharedStrings.xml><?xml version="1.0" encoding="utf-8"?>
<sst xmlns="http://schemas.openxmlformats.org/spreadsheetml/2006/main" count="280" uniqueCount="129">
  <si>
    <t xml:space="preserve">Исследуемый объект / Object under study:  </t>
  </si>
  <si>
    <t>комплекс апартаментов “The Heights” с отельным обслуживанием / apartment complex “The Heights” with hotel service</t>
  </si>
  <si>
    <t>Адрес:</t>
  </si>
  <si>
    <t>Jl. Pantai Berawa No.100, Tibubeneng, Kec. Kuta Utara, Kabupaten Badung, Bali 80361</t>
  </si>
  <si>
    <t xml:space="preserve">Сайт: </t>
  </si>
  <si>
    <t>https://magnumestate.com/magnum_residence_berawa</t>
  </si>
  <si>
    <t>Общее количество юнитов тип 1 / Total number of units type 1:</t>
  </si>
  <si>
    <t xml:space="preserve">XX </t>
  </si>
  <si>
    <t xml:space="preserve">Общее количество юнитов тип 2 / Total number of units type 2 : </t>
  </si>
  <si>
    <t>Площадь комплекса/объекта / Area of ​​the complex/facility :</t>
  </si>
  <si>
    <t xml:space="preserve"> 9000 м2</t>
  </si>
  <si>
    <t xml:space="preserve">Застройщик/Владелец / Developer/Owner : </t>
  </si>
  <si>
    <t>Magnum Estate</t>
  </si>
  <si>
    <t>Дата анализа объекта / Date of object analysis :</t>
  </si>
  <si>
    <t>Метод анализа Analysis method :</t>
  </si>
  <si>
    <t>Инвестиционный / Investment</t>
  </si>
  <si>
    <t>Общая площадь юнитов</t>
  </si>
  <si>
    <t>ХХ</t>
  </si>
  <si>
    <t>Прогнозная ставка аренды застройщика/владельца:</t>
  </si>
  <si>
    <t>Посуточно</t>
  </si>
  <si>
    <t>Помесячно</t>
  </si>
  <si>
    <t xml:space="preserve">Прогнозная заполняемость объектов застройщика/владельца:		</t>
  </si>
  <si>
    <t>Цена продажи</t>
  </si>
  <si>
    <t>Значения анализируемого объекта</t>
  </si>
  <si>
    <t>тип 1</t>
  </si>
  <si>
    <t>тип 2</t>
  </si>
  <si>
    <t>Средние значения</t>
  </si>
  <si>
    <t>Отклонение от среднего значения</t>
  </si>
  <si>
    <t>Параметры анализируемого объекта / Optionsof the analyzed object</t>
  </si>
  <si>
    <t>Среднерыночные параметры / Average market parameters</t>
  </si>
  <si>
    <t>Отклонение от среднерыночного параметра / Deviation from the average market parameter</t>
  </si>
  <si>
    <t>Тип 1/ Type 1</t>
  </si>
  <si>
    <t>Тип 2 / Type 2</t>
  </si>
  <si>
    <t>Цена</t>
  </si>
  <si>
    <t>Цена за м2</t>
  </si>
  <si>
    <t>Цена за м2 жилой площади</t>
  </si>
  <si>
    <t>Цена за м2 за год</t>
  </si>
  <si>
    <t>Площадь, м2</t>
  </si>
  <si>
    <t xml:space="preserve">Коэффицент общей / жилой площади </t>
  </si>
  <si>
    <t>Девелопер/ Developer</t>
  </si>
  <si>
    <t>Проект/ Project</t>
  </si>
  <si>
    <t>Локация/ Location</t>
  </si>
  <si>
    <t xml:space="preserve">Год сдачи / Year of completion </t>
  </si>
  <si>
    <t>Квартал / Q</t>
  </si>
  <si>
    <t>Цена / Price</t>
  </si>
  <si>
    <t>Общая площадь юнита / Building square, m2</t>
  </si>
  <si>
    <t>Жилая площадь / Living square, m2</t>
  </si>
  <si>
    <t>Срок лизхолда / Leasehold, years</t>
  </si>
  <si>
    <t>Спальни / Bedrooms</t>
  </si>
  <si>
    <t>Санузлы / Bathrooms</t>
  </si>
  <si>
    <t>Рейтинг девелопера / Rating of developer</t>
  </si>
  <si>
    <t>Класс / Class</t>
  </si>
  <si>
    <t>Цена м2 / Price per m2</t>
  </si>
  <si>
    <t>Цена м2 жилой площади /  Price per m2 of living square</t>
  </si>
  <si>
    <t>Цена юнита в год / Price per unit per year</t>
  </si>
  <si>
    <t>Цена м2 юнита в год / Price per m2/year of total square</t>
  </si>
  <si>
    <t>Цена м2 жилой площади  юнита в год / Price per m2/year of living square</t>
  </si>
  <si>
    <t>Вид / View</t>
  </si>
  <si>
    <t>Срок пролонгации/ leasehold's extention  term</t>
  </si>
  <si>
    <t>Комиссия УК / Management company fee</t>
  </si>
  <si>
    <t>Коммунальные расходы/ Communal expenses</t>
  </si>
  <si>
    <t>P</t>
  </si>
  <si>
    <t>Ресторан/Restraunt</t>
  </si>
  <si>
    <t>Бассейн/Pool</t>
  </si>
  <si>
    <t>Кухня/Kitchen</t>
  </si>
  <si>
    <t>Коворкинг/coworking</t>
  </si>
  <si>
    <t>Руфтоп/ rooftop</t>
  </si>
  <si>
    <t>Балкон, терасса/ Balcony or terrace</t>
  </si>
  <si>
    <t>камера хранения/ storage room</t>
  </si>
  <si>
    <t>Alex Villas</t>
  </si>
  <si>
    <t>ALEX VILLAS COMPLEX 7</t>
  </si>
  <si>
    <t>Canggu</t>
  </si>
  <si>
    <t>Batu Bolong</t>
  </si>
  <si>
    <t>II</t>
  </si>
  <si>
    <t>Premium</t>
  </si>
  <si>
    <t>BALI INVESTMENT</t>
  </si>
  <si>
    <t>BALI INVESTMENT APARTMENTS</t>
  </si>
  <si>
    <t>Berawa</t>
  </si>
  <si>
    <t>IV</t>
  </si>
  <si>
    <t>BFB</t>
  </si>
  <si>
    <t>BFB lifestyle residence</t>
  </si>
  <si>
    <t>Magnum estate</t>
  </si>
  <si>
    <t>Magnum residence Berawa</t>
  </si>
  <si>
    <t>Bali construction group</t>
  </si>
  <si>
    <t>OM apatments</t>
  </si>
  <si>
    <t>SUOM Property</t>
  </si>
  <si>
    <t>SUOM</t>
  </si>
  <si>
    <t>TAMORA Group</t>
  </si>
  <si>
    <t>THE TAMORA</t>
  </si>
  <si>
    <t>III</t>
  </si>
  <si>
    <t>Средние показатели в локации / Average performance in the location</t>
  </si>
  <si>
    <t>Цена за ночь средняя, $</t>
  </si>
  <si>
    <t>Заполняемость историческая на основе airbnb</t>
  </si>
  <si>
    <t>Историческая выручка за последний год на основе airbnb</t>
  </si>
  <si>
    <t>Ожидаемая выручка на основе исторической</t>
  </si>
  <si>
    <t>Ожидаемая выручка в год от помесячной сдачи</t>
  </si>
  <si>
    <t>Price tier</t>
  </si>
  <si>
    <t>Объект / Object</t>
  </si>
  <si>
    <t xml:space="preserve">Локация/ Location	</t>
  </si>
  <si>
    <t>Категория</t>
  </si>
  <si>
    <t>Число br / Quantity of br</t>
  </si>
  <si>
    <t>Срок размещения / Listing period</t>
  </si>
  <si>
    <t>Средняя цена юнита за сутки, $ / ADR</t>
  </si>
  <si>
    <t xml:space="preserve">Загрузка средняя фактическая / Actual average occupancy </t>
  </si>
  <si>
    <t xml:space="preserve">Выручка историческая / Historical value </t>
  </si>
  <si>
    <t>Цена за месяц, $</t>
  </si>
  <si>
    <t>Вид</t>
  </si>
  <si>
    <t>Бассейн / Pool</t>
  </si>
  <si>
    <t>Кухня / Kitchen</t>
  </si>
  <si>
    <t>Рейтинг отзывов</t>
  </si>
  <si>
    <t>Источник данных</t>
  </si>
  <si>
    <t>Цена юнита</t>
  </si>
  <si>
    <t>Комиссия УК</t>
  </si>
  <si>
    <t>Коммунальные расходы</t>
  </si>
  <si>
    <t>Исторческий уровень инфляции</t>
  </si>
  <si>
    <t>Срок лизхола</t>
  </si>
  <si>
    <t>год сдачи</t>
  </si>
  <si>
    <t>квартал сдачи</t>
  </si>
  <si>
    <t>ROI от посуточной сдачи</t>
  </si>
  <si>
    <t>ROI - срок строительства</t>
  </si>
  <si>
    <t>Тип 1 / Type 1</t>
  </si>
  <si>
    <t>Срок лизхолда /Leasehold period, years</t>
  </si>
  <si>
    <t>% амортизации / % depreciation</t>
  </si>
  <si>
    <t>Остаточная стоимость / Residual value, %</t>
  </si>
  <si>
    <t xml:space="preserve">ROI - инфляция - срок строительства </t>
  </si>
  <si>
    <t>ROI + инфляция - срок строительства -  амортизация</t>
  </si>
  <si>
    <t>ROI + инфляция - срок строительства накопительно</t>
  </si>
  <si>
    <t>ROI + инфляция - срок строительства накопительно - амортизация</t>
  </si>
  <si>
    <t>Тип 1 / Type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</si>
</sst>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7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  <font>
      <u/>
      <sz val="11.0"/>
      <color rgb="FF0000FF"/>
      <name val="Arial"/>
    </font>
    <font>
      <sz val="12.0"/>
      <color theme="1"/>
      <name val="Arial"/>
    </font>
    <font>
      <color theme="1"/>
      <name val="Arial"/>
    </font>
    <font>
      <b/>
      <sz val="7.0"/>
      <color theme="1"/>
      <name val="Arial"/>
    </font>
    <font>
      <b/>
      <u/>
      <sz val="7.0"/>
      <color rgb="FF0000FF"/>
      <name val="Arial"/>
    </font>
    <font>
      <b/>
      <u/>
      <color rgb="FF0000FF"/>
      <name val="Arial"/>
    </font>
    <font>
      <b/>
      <u/>
      <color theme="1"/>
      <name val="Arial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rgb="FF0000FF"/>
      <name val="Arial"/>
    </font>
    <font>
      <b/>
      <u/>
      <sz val="7.0"/>
      <color theme="1"/>
      <name val="Arial"/>
    </font>
    <font>
      <b/>
      <strike/>
      <u/>
      <sz val="7.0"/>
      <color rgb="FF0000FF"/>
      <name val="Arial"/>
    </font>
    <font>
      <b/>
      <strike/>
      <u/>
      <color rgb="FF0000FF"/>
      <name val="Arial"/>
    </font>
    <font>
      <b/>
      <strike/>
      <u/>
      <color theme="1"/>
      <name val="Arial"/>
    </font>
    <font>
      <b/>
      <strike/>
      <u/>
      <color theme="1"/>
      <name val="Arial"/>
    </font>
    <font>
      <b/>
      <strike/>
      <u/>
      <color theme="1"/>
      <name val="Arial"/>
    </font>
    <font>
      <b/>
      <strike/>
      <u/>
      <color theme="1"/>
      <name val="Arial"/>
    </font>
    <font>
      <sz val="8.0"/>
      <color theme="1"/>
      <name val="Arial"/>
    </font>
    <font>
      <sz val="11.0"/>
      <color theme="1"/>
      <name val="Arial"/>
    </font>
    <font>
      <sz val="9.0"/>
      <color theme="1"/>
      <name val="Arial"/>
    </font>
    <font>
      <color rgb="FFFFFFFF"/>
      <name val="Arial"/>
      <scheme val="minor"/>
    </font>
    <font>
      <color rgb="FFB7B7B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3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right" readingOrder="0" shrinkToFit="0" vertical="center" wrapText="1"/>
    </xf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right" readingOrder="0" shrinkToFit="0" wrapText="1"/>
    </xf>
    <xf borderId="6" fillId="0" fontId="2" numFmtId="0" xfId="0" applyBorder="1" applyFont="1"/>
    <xf borderId="4" fillId="0" fontId="1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right" readingOrder="0"/>
    </xf>
    <xf borderId="7" fillId="0" fontId="1" numFmtId="0" xfId="0" applyAlignment="1" applyBorder="1" applyFont="1">
      <alignment horizontal="left" readingOrder="0"/>
    </xf>
    <xf borderId="8" fillId="0" fontId="2" numFmtId="0" xfId="0" applyBorder="1" applyFont="1"/>
    <xf borderId="9" fillId="0" fontId="1" numFmtId="0" xfId="0" applyAlignment="1" applyBorder="1" applyFont="1">
      <alignment horizontal="right" readingOrder="0"/>
    </xf>
    <xf borderId="9" fillId="0" fontId="1" numFmtId="164" xfId="0" applyAlignment="1" applyBorder="1" applyFont="1" applyNumberFormat="1">
      <alignment horizontal="right" readingOrder="0"/>
    </xf>
    <xf borderId="7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right" readingOrder="0"/>
    </xf>
    <xf borderId="7" fillId="0" fontId="1" numFmtId="0" xfId="0" applyAlignment="1" applyBorder="1" applyFont="1">
      <alignment horizontal="center" readingOrder="0"/>
    </xf>
    <xf borderId="10" fillId="0" fontId="2" numFmtId="0" xfId="0" applyBorder="1" applyFont="1"/>
    <xf borderId="9" fillId="0" fontId="1" numFmtId="165" xfId="0" applyAlignment="1" applyBorder="1" applyFont="1" applyNumberFormat="1">
      <alignment horizontal="right" readingOrder="0"/>
    </xf>
    <xf borderId="0" fillId="0" fontId="5" numFmtId="0" xfId="0" applyAlignment="1" applyFont="1">
      <alignment readingOrder="0"/>
    </xf>
    <xf borderId="7" fillId="0" fontId="5" numFmtId="0" xfId="0" applyAlignment="1" applyBorder="1" applyFont="1">
      <alignment horizontal="center" readingOrder="0"/>
    </xf>
    <xf borderId="9" fillId="0" fontId="3" numFmtId="0" xfId="0" applyBorder="1" applyFont="1"/>
    <xf borderId="0" fillId="0" fontId="1" numFmtId="0" xfId="0" applyAlignment="1" applyFont="1">
      <alignment horizontal="center" readingOrder="0"/>
    </xf>
    <xf borderId="9" fillId="0" fontId="1" numFmtId="166" xfId="0" applyAlignment="1" applyBorder="1" applyFont="1" applyNumberFormat="1">
      <alignment horizontal="right" readingOrder="0"/>
    </xf>
    <xf borderId="11" fillId="0" fontId="1" numFmtId="0" xfId="0" applyAlignment="1" applyBorder="1" applyFont="1">
      <alignment horizontal="left" readingOrder="0"/>
    </xf>
    <xf borderId="12" fillId="0" fontId="2" numFmtId="0" xfId="0" applyBorder="1" applyFont="1"/>
    <xf borderId="13" fillId="0" fontId="1" numFmtId="166" xfId="0" applyAlignment="1" applyBorder="1" applyFont="1" applyNumberFormat="1">
      <alignment horizontal="right" readingOrder="0"/>
    </xf>
    <xf borderId="0" fillId="0" fontId="6" numFmtId="0" xfId="0" applyAlignment="1" applyFont="1">
      <alignment vertical="bottom"/>
    </xf>
    <xf borderId="14" fillId="2" fontId="6" numFmtId="0" xfId="0" applyAlignment="1" applyBorder="1" applyFill="1" applyFont="1">
      <alignment vertical="bottom"/>
    </xf>
    <xf borderId="0" fillId="2" fontId="6" numFmtId="0" xfId="0" applyAlignment="1" applyFont="1">
      <alignment vertical="bottom"/>
    </xf>
    <xf borderId="15" fillId="2" fontId="6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vertical="bottom"/>
    </xf>
    <xf borderId="17" fillId="2" fontId="6" numFmtId="0" xfId="0" applyAlignment="1" applyBorder="1" applyFont="1">
      <alignment vertical="bottom"/>
    </xf>
    <xf borderId="17" fillId="2" fontId="6" numFmtId="166" xfId="0" applyAlignment="1" applyBorder="1" applyFont="1" applyNumberFormat="1">
      <alignment horizontal="center" vertical="bottom"/>
    </xf>
    <xf borderId="17" fillId="2" fontId="6" numFmtId="4" xfId="0" applyAlignment="1" applyBorder="1" applyFont="1" applyNumberFormat="1">
      <alignment horizontal="center" vertical="bottom"/>
    </xf>
    <xf borderId="17" fillId="2" fontId="6" numFmtId="2" xfId="0" applyAlignment="1" applyBorder="1" applyFont="1" applyNumberFormat="1">
      <alignment horizontal="center" vertical="bottom"/>
    </xf>
    <xf borderId="17" fillId="2" fontId="6" numFmtId="0" xfId="0" applyAlignment="1" applyBorder="1" applyFont="1">
      <alignment readingOrder="0" vertical="bottom"/>
    </xf>
    <xf borderId="18" fillId="2" fontId="6" numFmtId="166" xfId="0" applyAlignment="1" applyBorder="1" applyFont="1" applyNumberFormat="1">
      <alignment horizontal="center" vertical="bottom"/>
    </xf>
    <xf borderId="19" fillId="0" fontId="2" numFmtId="0" xfId="0" applyBorder="1" applyFont="1"/>
    <xf borderId="20" fillId="2" fontId="6" numFmtId="0" xfId="0" applyAlignment="1" applyBorder="1" applyFont="1">
      <alignment vertical="bottom"/>
    </xf>
    <xf borderId="14" fillId="2" fontId="6" numFmtId="166" xfId="0" applyAlignment="1" applyBorder="1" applyFont="1" applyNumberFormat="1">
      <alignment horizontal="center" vertical="bottom"/>
    </xf>
    <xf borderId="14" fillId="2" fontId="6" numFmtId="4" xfId="0" applyAlignment="1" applyBorder="1" applyFont="1" applyNumberFormat="1">
      <alignment horizontal="center" vertical="bottom"/>
    </xf>
    <xf borderId="14" fillId="2" fontId="6" numFmtId="2" xfId="0" applyAlignment="1" applyBorder="1" applyFont="1" applyNumberFormat="1">
      <alignment horizontal="center" vertical="bottom"/>
    </xf>
    <xf borderId="14" fillId="2" fontId="6" numFmtId="0" xfId="0" applyAlignment="1" applyBorder="1" applyFont="1">
      <alignment readingOrder="0" vertical="bottom"/>
    </xf>
    <xf borderId="21" fillId="2" fontId="6" numFmtId="166" xfId="0" applyAlignment="1" applyBorder="1" applyFont="1" applyNumberFormat="1">
      <alignment horizontal="center" vertical="bottom"/>
    </xf>
    <xf borderId="15" fillId="2" fontId="6" numFmtId="0" xfId="0" applyAlignment="1" applyBorder="1" applyFont="1">
      <alignment horizontal="center" vertical="center"/>
    </xf>
    <xf borderId="22" fillId="2" fontId="6" numFmtId="0" xfId="0" applyAlignment="1" applyBorder="1" applyFont="1">
      <alignment vertical="bottom"/>
    </xf>
    <xf borderId="0" fillId="2" fontId="6" numFmtId="166" xfId="0" applyAlignment="1" applyFont="1" applyNumberFormat="1">
      <alignment vertical="bottom"/>
    </xf>
    <xf borderId="0" fillId="2" fontId="6" numFmtId="166" xfId="0" applyAlignment="1" applyFont="1" applyNumberFormat="1">
      <alignment horizontal="center" vertical="bottom"/>
    </xf>
    <xf borderId="0" fillId="2" fontId="6" numFmtId="167" xfId="0" applyAlignment="1" applyFont="1" applyNumberFormat="1">
      <alignment horizontal="center" vertical="bottom"/>
    </xf>
    <xf borderId="0" fillId="2" fontId="6" numFmtId="2" xfId="0" applyAlignment="1" applyFont="1" applyNumberFormat="1">
      <alignment horizontal="center" vertical="bottom"/>
    </xf>
    <xf borderId="0" fillId="2" fontId="6" numFmtId="0" xfId="0" applyAlignment="1" applyFont="1">
      <alignment readingOrder="0" vertical="bottom"/>
    </xf>
    <xf borderId="23" fillId="2" fontId="6" numFmtId="166" xfId="0" applyAlignment="1" applyBorder="1" applyFont="1" applyNumberFormat="1">
      <alignment horizontal="center" vertical="bottom"/>
    </xf>
    <xf borderId="14" fillId="2" fontId="6" numFmtId="166" xfId="0" applyAlignment="1" applyBorder="1" applyFont="1" applyNumberFormat="1">
      <alignment vertical="bottom"/>
    </xf>
    <xf borderId="14" fillId="2" fontId="6" numFmtId="167" xfId="0" applyAlignment="1" applyBorder="1" applyFont="1" applyNumberFormat="1">
      <alignment horizontal="center" vertical="bottom"/>
    </xf>
    <xf borderId="0" fillId="2" fontId="6" numFmtId="9" xfId="0" applyAlignment="1" applyFont="1" applyNumberFormat="1">
      <alignment horizontal="center" vertical="bottom"/>
    </xf>
    <xf borderId="0" fillId="2" fontId="6" numFmtId="9" xfId="0" applyAlignment="1" applyFont="1" applyNumberFormat="1">
      <alignment vertical="bottom"/>
    </xf>
    <xf borderId="23" fillId="2" fontId="6" numFmtId="9" xfId="0" applyAlignment="1" applyBorder="1" applyFont="1" applyNumberFormat="1">
      <alignment horizontal="center" vertical="bottom"/>
    </xf>
    <xf borderId="14" fillId="2" fontId="6" numFmtId="9" xfId="0" applyAlignment="1" applyBorder="1" applyFont="1" applyNumberFormat="1">
      <alignment horizontal="center" vertical="bottom"/>
    </xf>
    <xf borderId="14" fillId="2" fontId="6" numFmtId="9" xfId="0" applyAlignment="1" applyBorder="1" applyFont="1" applyNumberFormat="1">
      <alignment vertical="bottom"/>
    </xf>
    <xf borderId="21" fillId="2" fontId="6" numFmtId="9" xfId="0" applyAlignment="1" applyBorder="1" applyFont="1" applyNumberFormat="1">
      <alignment horizontal="center" vertical="bottom"/>
    </xf>
    <xf borderId="16" fillId="0" fontId="6" numFmtId="0" xfId="0" applyAlignment="1" applyBorder="1" applyFont="1">
      <alignment horizontal="center" vertical="center"/>
    </xf>
    <xf borderId="24" fillId="0" fontId="2" numFmtId="0" xfId="0" applyBorder="1" applyFont="1"/>
    <xf borderId="2" fillId="2" fontId="6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2" fontId="6" numFmtId="0" xfId="0" applyAlignment="1" applyBorder="1" applyFont="1">
      <alignment horizontal="center" readingOrder="0" vertical="bottom"/>
    </xf>
    <xf borderId="9" fillId="2" fontId="6" numFmtId="0" xfId="0" applyAlignment="1" applyBorder="1" applyFont="1">
      <alignment horizontal="center" readingOrder="0" vertical="bottom"/>
    </xf>
    <xf borderId="4" fillId="2" fontId="6" numFmtId="0" xfId="0" applyAlignment="1" applyBorder="1" applyFont="1">
      <alignment horizontal="center" vertical="bottom"/>
    </xf>
    <xf borderId="28" fillId="2" fontId="6" numFmtId="166" xfId="0" applyAlignment="1" applyBorder="1" applyFont="1" applyNumberFormat="1">
      <alignment horizontal="center"/>
    </xf>
    <xf borderId="28" fillId="2" fontId="6" numFmtId="9" xfId="0" applyAlignment="1" applyBorder="1" applyFont="1" applyNumberFormat="1">
      <alignment horizontal="center"/>
    </xf>
    <xf borderId="9" fillId="2" fontId="6" numFmtId="9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vertical="bottom"/>
    </xf>
    <xf borderId="28" fillId="0" fontId="6" numFmtId="0" xfId="0" applyAlignment="1" applyBorder="1" applyFont="1">
      <alignment horizontal="center"/>
    </xf>
    <xf borderId="28" fillId="2" fontId="6" numFmtId="0" xfId="0" applyAlignment="1" applyBorder="1" applyFont="1">
      <alignment horizontal="center"/>
    </xf>
    <xf borderId="28" fillId="0" fontId="6" numFmtId="166" xfId="0" applyBorder="1" applyFont="1" applyNumberFormat="1"/>
    <xf borderId="28" fillId="0" fontId="6" numFmtId="4" xfId="0" applyAlignment="1" applyBorder="1" applyFont="1" applyNumberFormat="1">
      <alignment horizontal="center"/>
    </xf>
    <xf borderId="28" fillId="0" fontId="6" numFmtId="167" xfId="0" applyAlignment="1" applyBorder="1" applyFont="1" applyNumberFormat="1">
      <alignment horizontal="center"/>
    </xf>
    <xf borderId="28" fillId="0" fontId="6" numFmtId="9" xfId="0" applyAlignment="1" applyBorder="1" applyFont="1" applyNumberFormat="1">
      <alignment horizontal="center"/>
    </xf>
    <xf borderId="9" fillId="0" fontId="6" numFmtId="9" xfId="0" applyAlignment="1" applyBorder="1" applyFont="1" applyNumberFormat="1">
      <alignment horizontal="center"/>
    </xf>
    <xf borderId="29" fillId="2" fontId="6" numFmtId="0" xfId="0" applyAlignment="1" applyBorder="1" applyFont="1">
      <alignment horizontal="center" vertical="bottom"/>
    </xf>
    <xf borderId="30" fillId="2" fontId="6" numFmtId="166" xfId="0" applyAlignment="1" applyBorder="1" applyFont="1" applyNumberFormat="1">
      <alignment horizontal="center" vertical="bottom"/>
    </xf>
    <xf borderId="30" fillId="2" fontId="6" numFmtId="2" xfId="0" applyAlignment="1" applyBorder="1" applyFont="1" applyNumberFormat="1">
      <alignment horizontal="center" shrinkToFit="0" vertical="bottom" wrapText="1"/>
    </xf>
    <xf borderId="30" fillId="2" fontId="6" numFmtId="9" xfId="0" applyAlignment="1" applyBorder="1" applyFont="1" applyNumberFormat="1">
      <alignment horizontal="center" shrinkToFit="0" vertical="bottom" wrapText="1"/>
    </xf>
    <xf borderId="13" fillId="2" fontId="6" numFmtId="9" xfId="0" applyAlignment="1" applyBorder="1" applyFont="1" applyNumberFormat="1">
      <alignment horizontal="center" shrinkToFit="0" vertical="bottom" wrapText="1"/>
    </xf>
    <xf borderId="14" fillId="0" fontId="6" numFmtId="0" xfId="0" applyAlignment="1" applyBorder="1" applyFont="1">
      <alignment vertical="bottom"/>
    </xf>
    <xf borderId="23" fillId="2" fontId="6" numFmtId="0" xfId="0" applyAlignment="1" applyBorder="1" applyFont="1">
      <alignment vertical="center"/>
    </xf>
    <xf borderId="21" fillId="2" fontId="7" numFmtId="0" xfId="0" applyAlignment="1" applyBorder="1" applyFont="1">
      <alignment horizontal="center" readingOrder="0" shrinkToFit="0" vertical="center" wrapText="1"/>
    </xf>
    <xf borderId="14" fillId="2" fontId="7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1" fillId="2" fontId="7" numFmtId="166" xfId="0" applyAlignment="1" applyBorder="1" applyFont="1" applyNumberFormat="1">
      <alignment horizontal="center" readingOrder="0" shrinkToFit="0" vertical="center" wrapText="1"/>
    </xf>
    <xf borderId="21" fillId="2" fontId="7" numFmtId="4" xfId="0" applyAlignment="1" applyBorder="1" applyFont="1" applyNumberFormat="1">
      <alignment horizontal="center" readingOrder="0" shrinkToFit="0" vertical="center" wrapText="1"/>
    </xf>
    <xf borderId="31" fillId="2" fontId="7" numFmtId="0" xfId="0" applyAlignment="1" applyBorder="1" applyFont="1">
      <alignment horizontal="center" readingOrder="0" shrinkToFit="0" vertical="center" wrapText="1"/>
    </xf>
    <xf borderId="31" fillId="2" fontId="7" numFmtId="166" xfId="0" applyAlignment="1" applyBorder="1" applyFont="1" applyNumberFormat="1">
      <alignment horizontal="center" readingOrder="0" shrinkToFit="0" vertical="center" wrapText="1"/>
    </xf>
    <xf borderId="23" fillId="2" fontId="6" numFmtId="0" xfId="0" applyAlignment="1" applyBorder="1" applyFont="1">
      <alignment vertical="bottom"/>
    </xf>
    <xf borderId="21" fillId="2" fontId="8" numFmtId="0" xfId="0" applyAlignment="1" applyBorder="1" applyFont="1">
      <alignment horizontal="center" shrinkToFit="0" vertical="bottom" wrapText="1"/>
    </xf>
    <xf borderId="21" fillId="2" fontId="9" numFmtId="0" xfId="0" applyAlignment="1" applyBorder="1" applyFont="1">
      <alignment horizontal="center" shrinkToFit="0" vertical="bottom" wrapText="1"/>
    </xf>
    <xf borderId="21" fillId="2" fontId="10" numFmtId="0" xfId="0" applyAlignment="1" applyBorder="1" applyFont="1">
      <alignment horizontal="center" shrinkToFit="0" vertical="bottom" wrapText="1"/>
    </xf>
    <xf borderId="21" fillId="2" fontId="11" numFmtId="0" xfId="0" applyAlignment="1" applyBorder="1" applyFont="1">
      <alignment horizontal="center" vertical="bottom"/>
    </xf>
    <xf borderId="21" fillId="2" fontId="11" numFmtId="166" xfId="0" applyAlignment="1" applyBorder="1" applyFont="1" applyNumberFormat="1">
      <alignment horizontal="center" vertical="bottom"/>
    </xf>
    <xf borderId="21" fillId="2" fontId="11" numFmtId="4" xfId="0" applyAlignment="1" applyBorder="1" applyFont="1" applyNumberFormat="1">
      <alignment horizontal="center" vertical="bottom"/>
    </xf>
    <xf borderId="21" fillId="2" fontId="12" numFmtId="0" xfId="0" applyAlignment="1" applyBorder="1" applyFont="1">
      <alignment horizontal="center" vertical="bottom"/>
    </xf>
    <xf borderId="31" fillId="2" fontId="6" numFmtId="166" xfId="0" applyAlignment="1" applyBorder="1" applyFont="1" applyNumberFormat="1">
      <alignment vertical="bottom"/>
    </xf>
    <xf borderId="21" fillId="2" fontId="6" numFmtId="0" xfId="0" applyAlignment="1" applyBorder="1" applyFont="1">
      <alignment vertical="bottom"/>
    </xf>
    <xf borderId="31" fillId="2" fontId="6" numFmtId="0" xfId="0" applyAlignment="1" applyBorder="1" applyFont="1">
      <alignment vertical="bottom"/>
    </xf>
    <xf borderId="21" fillId="2" fontId="6" numFmtId="4" xfId="0" applyAlignment="1" applyBorder="1" applyFont="1" applyNumberFormat="1">
      <alignment vertical="bottom"/>
    </xf>
    <xf borderId="21" fillId="2" fontId="6" numFmtId="166" xfId="0" applyAlignment="1" applyBorder="1" applyFont="1" applyNumberFormat="1">
      <alignment vertical="bottom"/>
    </xf>
    <xf borderId="21" fillId="2" fontId="13" numFmtId="166" xfId="0" applyAlignment="1" applyBorder="1" applyFont="1" applyNumberFormat="1">
      <alignment horizontal="center" vertical="bottom"/>
    </xf>
    <xf borderId="21" fillId="2" fontId="11" numFmtId="0" xfId="0" applyAlignment="1" applyBorder="1" applyFont="1">
      <alignment horizontal="center" shrinkToFit="0" vertical="bottom" wrapText="1"/>
    </xf>
    <xf borderId="21" fillId="2" fontId="7" numFmtId="0" xfId="0" applyAlignment="1" applyBorder="1" applyFont="1">
      <alignment horizontal="center" shrinkToFit="0" vertical="bottom" wrapText="1"/>
    </xf>
    <xf borderId="21" fillId="2" fontId="14" numFmtId="0" xfId="0" applyAlignment="1" applyBorder="1" applyFont="1">
      <alignment horizontal="center" vertical="bottom"/>
    </xf>
    <xf borderId="21" fillId="2" fontId="11" numFmtId="1" xfId="0" applyAlignment="1" applyBorder="1" applyFont="1" applyNumberFormat="1">
      <alignment horizontal="center" vertical="bottom"/>
    </xf>
    <xf borderId="21" fillId="2" fontId="15" numFmtId="0" xfId="0" applyAlignment="1" applyBorder="1" applyFont="1">
      <alignment horizontal="center" shrinkToFit="0" vertical="bottom" wrapText="1"/>
    </xf>
    <xf borderId="21" fillId="2" fontId="16" numFmtId="0" xfId="0" applyAlignment="1" applyBorder="1" applyFont="1">
      <alignment horizontal="center" shrinkToFit="0" vertical="bottom" wrapText="1"/>
    </xf>
    <xf borderId="21" fillId="2" fontId="17" numFmtId="0" xfId="0" applyAlignment="1" applyBorder="1" applyFont="1">
      <alignment horizontal="center" shrinkToFit="0" vertical="bottom" wrapText="1"/>
    </xf>
    <xf borderId="21" fillId="2" fontId="18" numFmtId="0" xfId="0" applyAlignment="1" applyBorder="1" applyFont="1">
      <alignment horizontal="center" shrinkToFit="0" vertical="bottom" wrapText="1"/>
    </xf>
    <xf borderId="21" fillId="2" fontId="19" numFmtId="0" xfId="0" applyAlignment="1" applyBorder="1" applyFont="1">
      <alignment horizontal="center" vertical="bottom"/>
    </xf>
    <xf borderId="21" fillId="2" fontId="20" numFmtId="166" xfId="0" applyAlignment="1" applyBorder="1" applyFont="1" applyNumberFormat="1">
      <alignment horizontal="center" vertical="bottom"/>
    </xf>
    <xf borderId="21" fillId="2" fontId="21" numFmtId="4" xfId="0" applyAlignment="1" applyBorder="1" applyFont="1" applyNumberFormat="1">
      <alignment horizontal="center" vertical="bottom"/>
    </xf>
    <xf borderId="0" fillId="2" fontId="6" numFmtId="0" xfId="0" applyFont="1"/>
    <xf borderId="0" fillId="2" fontId="6" numFmtId="9" xfId="0" applyFont="1" applyNumberFormat="1"/>
    <xf borderId="0" fillId="2" fontId="6" numFmtId="166" xfId="0" applyFont="1" applyNumberFormat="1"/>
    <xf borderId="0" fillId="0" fontId="3" numFmtId="0" xfId="0" applyAlignment="1" applyFont="1">
      <alignment vertical="center"/>
    </xf>
    <xf borderId="31" fillId="2" fontId="22" numFmtId="0" xfId="0" applyAlignment="1" applyBorder="1" applyFont="1">
      <alignment horizontal="center" readingOrder="0" shrinkToFit="0" vertical="center" wrapText="1"/>
    </xf>
    <xf borderId="31" fillId="2" fontId="22" numFmtId="0" xfId="0" applyAlignment="1" applyBorder="1" applyFont="1">
      <alignment horizontal="center" shrinkToFit="0" vertical="center" wrapText="1"/>
    </xf>
    <xf borderId="31" fillId="2" fontId="23" numFmtId="0" xfId="0" applyAlignment="1" applyBorder="1" applyFont="1">
      <alignment horizontal="center"/>
    </xf>
    <xf borderId="31" fillId="2" fontId="23" numFmtId="166" xfId="0" applyAlignment="1" applyBorder="1" applyFont="1" applyNumberFormat="1">
      <alignment horizontal="center"/>
    </xf>
    <xf borderId="31" fillId="2" fontId="23" numFmtId="9" xfId="0" applyAlignment="1" applyBorder="1" applyFont="1" applyNumberFormat="1">
      <alignment horizontal="center"/>
    </xf>
    <xf borderId="31" fillId="2" fontId="23" numFmtId="166" xfId="0" applyAlignment="1" applyBorder="1" applyFont="1" applyNumberFormat="1">
      <alignment horizontal="center" readingOrder="0" shrinkToFit="0" wrapText="1"/>
    </xf>
    <xf borderId="31" fillId="0" fontId="3" numFmtId="0" xfId="0" applyBorder="1" applyFont="1"/>
    <xf borderId="31" fillId="2" fontId="23" numFmtId="0" xfId="0" applyAlignment="1" applyBorder="1" applyFont="1">
      <alignment horizontal="center" readingOrder="0"/>
    </xf>
    <xf borderId="31" fillId="2" fontId="23" numFmtId="166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1" fillId="2" fontId="24" numFmtId="0" xfId="0" applyAlignment="1" applyBorder="1" applyFont="1">
      <alignment horizontal="center" readingOrder="0" shrinkToFit="0" vertical="center" wrapText="1"/>
    </xf>
    <xf borderId="31" fillId="2" fontId="24" numFmtId="0" xfId="0" applyAlignment="1" applyBorder="1" applyFont="1">
      <alignment horizontal="center" shrinkToFit="0" vertical="center" wrapText="1"/>
    </xf>
    <xf borderId="31" fillId="2" fontId="24" numFmtId="166" xfId="0" applyAlignment="1" applyBorder="1" applyFont="1" applyNumberFormat="1">
      <alignment horizontal="center" readingOrder="0" shrinkToFit="0" vertical="center" wrapText="1"/>
    </xf>
    <xf borderId="31" fillId="0" fontId="3" numFmtId="166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/>
    </xf>
    <xf borderId="32" fillId="0" fontId="3" numFmtId="0" xfId="0" applyBorder="1" applyFont="1"/>
    <xf borderId="28" fillId="0" fontId="3" numFmtId="0" xfId="0" applyBorder="1" applyFont="1"/>
    <xf borderId="0" fillId="0" fontId="25" numFmtId="0" xfId="0" applyAlignment="1" applyFont="1">
      <alignment readingOrder="0"/>
    </xf>
    <xf borderId="31" fillId="3" fontId="6" numFmtId="3" xfId="0" applyAlignment="1" applyBorder="1" applyFill="1" applyFont="1" applyNumberFormat="1">
      <alignment horizontal="center" vertical="bottom"/>
    </xf>
    <xf borderId="31" fillId="0" fontId="6" numFmtId="9" xfId="0" applyAlignment="1" applyBorder="1" applyFont="1" applyNumberFormat="1">
      <alignment horizontal="center" readingOrder="0" vertical="bottom"/>
    </xf>
    <xf borderId="31" fillId="0" fontId="6" numFmtId="3" xfId="0" applyAlignment="1" applyBorder="1" applyFont="1" applyNumberFormat="1">
      <alignment horizontal="center" readingOrder="0" vertical="bottom"/>
    </xf>
    <xf borderId="31" fillId="0" fontId="6" numFmtId="0" xfId="0" applyAlignment="1" applyBorder="1" applyFont="1">
      <alignment horizontal="center" readingOrder="0" vertical="bottom"/>
    </xf>
    <xf borderId="31" fillId="3" fontId="6" numFmtId="168" xfId="0" applyAlignment="1" applyBorder="1" applyFont="1" applyNumberFormat="1">
      <alignment horizontal="center" vertical="bottom"/>
    </xf>
    <xf borderId="31" fillId="4" fontId="23" numFmtId="10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6" fillId="2" fontId="22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0" fillId="5" fontId="26" numFmtId="0" xfId="0" applyAlignment="1" applyFill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168" xfId="0" applyAlignment="1" applyFont="1" applyNumberFormat="1">
      <alignment horizontal="right" vertical="bottom"/>
    </xf>
    <xf borderId="0" fillId="0" fontId="6" numFmtId="9" xfId="0" applyAlignment="1" applyFont="1" applyNumberFormat="1">
      <alignment vertical="bottom"/>
    </xf>
    <xf borderId="0" fillId="0" fontId="3" numFmtId="168" xfId="0" applyFont="1" applyNumberFormat="1"/>
    <xf borderId="0" fillId="0" fontId="3" numFmtId="168" xfId="0" applyAlignment="1" applyFont="1" applyNumberFormat="1">
      <alignment readingOrder="0"/>
    </xf>
    <xf borderId="0" fillId="0" fontId="6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numestate.com/magnum_residence_beraw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-h03OB6q9bzOfonUcSlMRxnoCxmblGdX?usp=drive_link" TargetMode="External"/><Relationship Id="rId42" Type="http://schemas.openxmlformats.org/officeDocument/2006/relationships/hyperlink" Target="https://drive.google.com/file/d/1Y-6yeElreOa9byQy7xSv_rxc1bWF_rFK/view?usp=drive_link" TargetMode="External"/><Relationship Id="rId41" Type="http://schemas.openxmlformats.org/officeDocument/2006/relationships/hyperlink" Target="https://bali-investments.ru/" TargetMode="External"/><Relationship Id="rId44" Type="http://schemas.openxmlformats.org/officeDocument/2006/relationships/hyperlink" Target="https://bali-investments.ru/" TargetMode="External"/><Relationship Id="rId43" Type="http://schemas.openxmlformats.org/officeDocument/2006/relationships/hyperlink" Target="https://goo.gl/maps/yS4CwR9r5WczSW1eA" TargetMode="External"/><Relationship Id="rId46" Type="http://schemas.openxmlformats.org/officeDocument/2006/relationships/hyperlink" Target="https://drive.google.com/drive/folders/15fgDU9PmvszpleuH0HswIsOIWbBUtbks?usp=drive_link" TargetMode="External"/><Relationship Id="rId45" Type="http://schemas.openxmlformats.org/officeDocument/2006/relationships/hyperlink" Target="https://drive.google.com/file/d/1Y-6yeElreOa9byQy7xSv_rxc1bWF_rFK/view?usp=drive_link" TargetMode="External"/><Relationship Id="rId1" Type="http://schemas.openxmlformats.org/officeDocument/2006/relationships/hyperlink" Target="https://www.alex.villas/" TargetMode="External"/><Relationship Id="rId2" Type="http://schemas.openxmlformats.org/officeDocument/2006/relationships/hyperlink" Target="https://drive.google.com/drive/folders/1iAK3R5XbVopJXM50D_kCF54bwXCdw0de" TargetMode="External"/><Relationship Id="rId3" Type="http://schemas.openxmlformats.org/officeDocument/2006/relationships/hyperlink" Target="https://maps.app.goo.gl/cuDpY8b3Fp71HtUH6" TargetMode="External"/><Relationship Id="rId4" Type="http://schemas.openxmlformats.org/officeDocument/2006/relationships/hyperlink" Target="https://www.alex.villas/" TargetMode="External"/><Relationship Id="rId9" Type="http://schemas.openxmlformats.org/officeDocument/2006/relationships/hyperlink" Target="https://www.alex.villas/" TargetMode="External"/><Relationship Id="rId48" Type="http://schemas.openxmlformats.org/officeDocument/2006/relationships/hyperlink" Target="https://drive.google.com/drive/folders/15fgDU9PmvszpleuH0HswIsOIWbBUtbks?usp=drive_link" TargetMode="External"/><Relationship Id="rId47" Type="http://schemas.openxmlformats.org/officeDocument/2006/relationships/hyperlink" Target="https://maps.app.goo.gl/1B4VmTSYh1SLhTxh8" TargetMode="External"/><Relationship Id="rId49" Type="http://schemas.openxmlformats.org/officeDocument/2006/relationships/hyperlink" Target="https://magnumestate.pro/ru?ysclid=lgfzut7ejm383197817" TargetMode="External"/><Relationship Id="rId5" Type="http://schemas.openxmlformats.org/officeDocument/2006/relationships/hyperlink" Target="https://drive.google.com/drive/folders/1iAK3R5XbVopJXM50D_kCF54bwXCdw0de" TargetMode="External"/><Relationship Id="rId6" Type="http://schemas.openxmlformats.org/officeDocument/2006/relationships/hyperlink" Target="https://www.alex.villas/" TargetMode="External"/><Relationship Id="rId7" Type="http://schemas.openxmlformats.org/officeDocument/2006/relationships/hyperlink" Target="https://drive.google.com/drive/folders/1-h03OB6q9bzOfonUcSlMRxnoCxmblGdX?usp=drive_link" TargetMode="External"/><Relationship Id="rId8" Type="http://schemas.openxmlformats.org/officeDocument/2006/relationships/hyperlink" Target="https://maps.app.goo.gl/cuDpY8b3Fp71HtUH6" TargetMode="External"/><Relationship Id="rId73" Type="http://schemas.openxmlformats.org/officeDocument/2006/relationships/hyperlink" Target="https://goo.gl/maps/7GW1oKvNBh1aypKT6" TargetMode="External"/><Relationship Id="rId72" Type="http://schemas.openxmlformats.org/officeDocument/2006/relationships/hyperlink" Target="https://estatewin-bali.com/ru/thetamora" TargetMode="External"/><Relationship Id="rId31" Type="http://schemas.openxmlformats.org/officeDocument/2006/relationships/hyperlink" Target="https://www.alex.villas/" TargetMode="External"/><Relationship Id="rId75" Type="http://schemas.openxmlformats.org/officeDocument/2006/relationships/hyperlink" Target="https://estatewin-bali.com/ru/thetamora" TargetMode="External"/><Relationship Id="rId30" Type="http://schemas.openxmlformats.org/officeDocument/2006/relationships/hyperlink" Target="https://drive.google.com/drive/folders/1-h03OB6q9bzOfonUcSlMRxnoCxmblGdX?usp=drive_link" TargetMode="External"/><Relationship Id="rId74" Type="http://schemas.openxmlformats.org/officeDocument/2006/relationships/hyperlink" Target="https://www.tamoragroup.com/partners/" TargetMode="External"/><Relationship Id="rId33" Type="http://schemas.openxmlformats.org/officeDocument/2006/relationships/hyperlink" Target="https://maps.app.goo.gl/cuDpY8b3Fp71HtUH6" TargetMode="External"/><Relationship Id="rId32" Type="http://schemas.openxmlformats.org/officeDocument/2006/relationships/hyperlink" Target="https://drive.google.com/drive/folders/1-h03OB6q9bzOfonUcSlMRxnoCxmblGdX?usp=drive_link" TargetMode="External"/><Relationship Id="rId76" Type="http://schemas.openxmlformats.org/officeDocument/2006/relationships/drawing" Target="../drawings/drawing2.xml"/><Relationship Id="rId35" Type="http://schemas.openxmlformats.org/officeDocument/2006/relationships/hyperlink" Target="https://drive.google.com/drive/folders/1-h03OB6q9bzOfonUcSlMRxnoCxmblGdX?usp=drive_link" TargetMode="External"/><Relationship Id="rId34" Type="http://schemas.openxmlformats.org/officeDocument/2006/relationships/hyperlink" Target="https://www.alex.villas/" TargetMode="External"/><Relationship Id="rId71" Type="http://schemas.openxmlformats.org/officeDocument/2006/relationships/hyperlink" Target="https://www.tamoragroup.com/partners/" TargetMode="External"/><Relationship Id="rId70" Type="http://schemas.openxmlformats.org/officeDocument/2006/relationships/hyperlink" Target="https://drive.google.com/drive/folders/1pm1V44J_G_l7OydiDiHuRuX-kpSPGQPA?usp=sharing" TargetMode="External"/><Relationship Id="rId37" Type="http://schemas.openxmlformats.org/officeDocument/2006/relationships/hyperlink" Target="https://drive.google.com/drive/folders/1-h03OB6q9bzOfonUcSlMRxnoCxmblGdX?usp=drive_link" TargetMode="External"/><Relationship Id="rId36" Type="http://schemas.openxmlformats.org/officeDocument/2006/relationships/hyperlink" Target="https://www.alex.villas/" TargetMode="External"/><Relationship Id="rId39" Type="http://schemas.openxmlformats.org/officeDocument/2006/relationships/hyperlink" Target="https://www.alex.villas/" TargetMode="External"/><Relationship Id="rId38" Type="http://schemas.openxmlformats.org/officeDocument/2006/relationships/hyperlink" Target="https://maps.app.goo.gl/cuDpY8b3Fp71HtUH6" TargetMode="External"/><Relationship Id="rId62" Type="http://schemas.openxmlformats.org/officeDocument/2006/relationships/hyperlink" Target="https://drive.google.com/file/d/1IyUUBZDT1_UIwv-v8lXKW6ap-0qMRdB-/view?usp=drive_link" TargetMode="External"/><Relationship Id="rId61" Type="http://schemas.openxmlformats.org/officeDocument/2006/relationships/hyperlink" Target="https://maps.app.goo.gl/2ke9v8VdAAGLzBbTA" TargetMode="External"/><Relationship Id="rId20" Type="http://schemas.openxmlformats.org/officeDocument/2006/relationships/hyperlink" Target="https://drive.google.com/drive/folders/1-h03OB6q9bzOfonUcSlMRxnoCxmblGdX?usp=drive_link" TargetMode="External"/><Relationship Id="rId64" Type="http://schemas.openxmlformats.org/officeDocument/2006/relationships/hyperlink" Target="https://maps.app.goo.gl/2ke9v8VdAAGLzBbTA" TargetMode="External"/><Relationship Id="rId63" Type="http://schemas.openxmlformats.org/officeDocument/2006/relationships/hyperlink" Target="https://drive.google.com/file/d/1IyUUBZDT1_UIwv-v8lXKW6ap-0qMRdB-/view?usp=sharing" TargetMode="External"/><Relationship Id="rId22" Type="http://schemas.openxmlformats.org/officeDocument/2006/relationships/hyperlink" Target="https://drive.google.com/drive/folders/1-h03OB6q9bzOfonUcSlMRxnoCxmblGdX?usp=drive_link" TargetMode="External"/><Relationship Id="rId66" Type="http://schemas.openxmlformats.org/officeDocument/2006/relationships/hyperlink" Target="https://suomvillas.com/" TargetMode="External"/><Relationship Id="rId21" Type="http://schemas.openxmlformats.org/officeDocument/2006/relationships/hyperlink" Target="https://www.alex.villas/" TargetMode="External"/><Relationship Id="rId65" Type="http://schemas.openxmlformats.org/officeDocument/2006/relationships/hyperlink" Target="https://drive.google.com/file/d/1IyUUBZDT1_UIwv-v8lXKW6ap-0qMRdB-/view?usp=sharing" TargetMode="External"/><Relationship Id="rId24" Type="http://schemas.openxmlformats.org/officeDocument/2006/relationships/hyperlink" Target="https://www.alex.villas/" TargetMode="External"/><Relationship Id="rId68" Type="http://schemas.openxmlformats.org/officeDocument/2006/relationships/hyperlink" Target="https://goo.gl/maps/QxW4o52v5d7xj9Lw5" TargetMode="External"/><Relationship Id="rId23" Type="http://schemas.openxmlformats.org/officeDocument/2006/relationships/hyperlink" Target="https://maps.app.goo.gl/cuDpY8b3Fp71HtUH6" TargetMode="External"/><Relationship Id="rId67" Type="http://schemas.openxmlformats.org/officeDocument/2006/relationships/hyperlink" Target="https://drive.google.com/drive/folders/1pm1V44J_G_l7OydiDiHuRuX-kpSPGQPA?usp=sharing" TargetMode="External"/><Relationship Id="rId60" Type="http://schemas.openxmlformats.org/officeDocument/2006/relationships/hyperlink" Target="https://maps.app.goo.gl/2ke9v8VdAAGLzBbTA" TargetMode="External"/><Relationship Id="rId26" Type="http://schemas.openxmlformats.org/officeDocument/2006/relationships/hyperlink" Target="https://www.alex.villas/" TargetMode="External"/><Relationship Id="rId25" Type="http://schemas.openxmlformats.org/officeDocument/2006/relationships/hyperlink" Target="https://drive.google.com/drive/folders/1-h03OB6q9bzOfonUcSlMRxnoCxmblGdX?usp=drive_link" TargetMode="External"/><Relationship Id="rId69" Type="http://schemas.openxmlformats.org/officeDocument/2006/relationships/hyperlink" Target="https://suomvillas.com/" TargetMode="External"/><Relationship Id="rId28" Type="http://schemas.openxmlformats.org/officeDocument/2006/relationships/hyperlink" Target="https://maps.app.goo.gl/cuDpY8b3Fp71HtUH6" TargetMode="External"/><Relationship Id="rId27" Type="http://schemas.openxmlformats.org/officeDocument/2006/relationships/hyperlink" Target="https://drive.google.com/drive/folders/1-h03OB6q9bzOfonUcSlMRxnoCxmblGdX?usp=drive_link" TargetMode="External"/><Relationship Id="rId29" Type="http://schemas.openxmlformats.org/officeDocument/2006/relationships/hyperlink" Target="https://www.alex.villas/" TargetMode="External"/><Relationship Id="rId51" Type="http://schemas.openxmlformats.org/officeDocument/2006/relationships/hyperlink" Target="https://maps.app.goo.gl/kxPNExqAUjfpnFDJ7?g_st=ic" TargetMode="External"/><Relationship Id="rId50" Type="http://schemas.openxmlformats.org/officeDocument/2006/relationships/hyperlink" Target="https://drive.google.com/drive/folders/1XQIkGQCh7qlbftuKa-O_9ZPwUHutf3bJ?usp=sharing" TargetMode="External"/><Relationship Id="rId53" Type="http://schemas.openxmlformats.org/officeDocument/2006/relationships/hyperlink" Target="https://drive.google.com/drive/folders/1XQIkGQCh7qlbftuKa-O_9ZPwUHutf3bJ?usp=sharing" TargetMode="External"/><Relationship Id="rId52" Type="http://schemas.openxmlformats.org/officeDocument/2006/relationships/hyperlink" Target="https://magnumestate.pro/ru?ysclid=lgfzut7ejm383197817" TargetMode="External"/><Relationship Id="rId11" Type="http://schemas.openxmlformats.org/officeDocument/2006/relationships/hyperlink" Target="https://www.alex.villas/" TargetMode="External"/><Relationship Id="rId55" Type="http://schemas.openxmlformats.org/officeDocument/2006/relationships/hyperlink" Target="https://drive.google.com/file/d/1Y7SqutKi5590e1QAySAfmjLHxzm2EU4k/view?usp=sharing" TargetMode="External"/><Relationship Id="rId10" Type="http://schemas.openxmlformats.org/officeDocument/2006/relationships/hyperlink" Target="https://drive.google.com/drive/folders/1-h03OB6q9bzOfonUcSlMRxnoCxmblGdX?usp=drive_link" TargetMode="External"/><Relationship Id="rId54" Type="http://schemas.openxmlformats.org/officeDocument/2006/relationships/hyperlink" Target="https://magnumestate.pro/ru?ysclid=lgfzut7ejm383197817" TargetMode="External"/><Relationship Id="rId13" Type="http://schemas.openxmlformats.org/officeDocument/2006/relationships/hyperlink" Target="https://maps.app.goo.gl/cuDpY8b3Fp71HtUH6" TargetMode="External"/><Relationship Id="rId57" Type="http://schemas.openxmlformats.org/officeDocument/2006/relationships/hyperlink" Target="https://magnumestate.pro/ru?ysclid=lgfzut7ejm383197817" TargetMode="External"/><Relationship Id="rId12" Type="http://schemas.openxmlformats.org/officeDocument/2006/relationships/hyperlink" Target="https://drive.google.com/drive/folders/1-h03OB6q9bzOfonUcSlMRxnoCxmblGdX?usp=drive_link" TargetMode="External"/><Relationship Id="rId56" Type="http://schemas.openxmlformats.org/officeDocument/2006/relationships/hyperlink" Target="https://maps.app.goo.gl/kxPNExqAUjfpnFDJ7?g_st=ic" TargetMode="External"/><Relationship Id="rId15" Type="http://schemas.openxmlformats.org/officeDocument/2006/relationships/hyperlink" Target="https://drive.google.com/drive/folders/1-h03OB6q9bzOfonUcSlMRxnoCxmblGdX?usp=drive_link" TargetMode="External"/><Relationship Id="rId59" Type="http://schemas.openxmlformats.org/officeDocument/2006/relationships/hyperlink" Target="https://drive.google.com/file/d/1IyUUBZDT1_UIwv-v8lXKW6ap-0qMRdB-/view?usp=drive_link" TargetMode="External"/><Relationship Id="rId14" Type="http://schemas.openxmlformats.org/officeDocument/2006/relationships/hyperlink" Target="https://www.alex.villas/" TargetMode="External"/><Relationship Id="rId58" Type="http://schemas.openxmlformats.org/officeDocument/2006/relationships/hyperlink" Target="https://drive.google.com/file/d/1Y7SqutKi5590e1QAySAfmjLHxzm2EU4k/view?usp=sharing" TargetMode="External"/><Relationship Id="rId17" Type="http://schemas.openxmlformats.org/officeDocument/2006/relationships/hyperlink" Target="https://drive.google.com/drive/folders/1-h03OB6q9bzOfonUcSlMRxnoCxmblGdX?usp=drive_link" TargetMode="External"/><Relationship Id="rId16" Type="http://schemas.openxmlformats.org/officeDocument/2006/relationships/hyperlink" Target="https://www.alex.villas/" TargetMode="External"/><Relationship Id="rId19" Type="http://schemas.openxmlformats.org/officeDocument/2006/relationships/hyperlink" Target="https://www.alex.villas/" TargetMode="External"/><Relationship Id="rId18" Type="http://schemas.openxmlformats.org/officeDocument/2006/relationships/hyperlink" Target="https://maps.app.goo.gl/cuDpY8b3Fp71HtUH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43.5"/>
    <col customWidth="1" min="4" max="4" width="16.13"/>
  </cols>
  <sheetData>
    <row r="2">
      <c r="B2" s="1" t="s">
        <v>0</v>
      </c>
      <c r="C2" s="2" t="s">
        <v>1</v>
      </c>
      <c r="D2" s="3"/>
    </row>
    <row r="3">
      <c r="A3" s="4"/>
      <c r="B3" s="5" t="s">
        <v>2</v>
      </c>
      <c r="C3" s="6" t="s">
        <v>3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B4" s="8" t="s">
        <v>4</v>
      </c>
      <c r="C4" s="9" t="s">
        <v>5</v>
      </c>
      <c r="D4" s="7"/>
    </row>
    <row r="5">
      <c r="B5" s="10" t="s">
        <v>6</v>
      </c>
      <c r="C5" s="11"/>
      <c r="D5" s="12" t="s">
        <v>7</v>
      </c>
    </row>
    <row r="6">
      <c r="B6" s="10" t="s">
        <v>8</v>
      </c>
      <c r="C6" s="11"/>
      <c r="D6" s="12" t="s">
        <v>7</v>
      </c>
    </row>
    <row r="7">
      <c r="B7" s="10" t="s">
        <v>9</v>
      </c>
      <c r="C7" s="11"/>
      <c r="D7" s="12" t="s">
        <v>10</v>
      </c>
    </row>
    <row r="8">
      <c r="B8" s="10" t="s">
        <v>11</v>
      </c>
      <c r="C8" s="11"/>
      <c r="D8" s="12" t="s">
        <v>12</v>
      </c>
    </row>
    <row r="9">
      <c r="B9" s="10" t="s">
        <v>13</v>
      </c>
      <c r="C9" s="11"/>
      <c r="D9" s="13">
        <v>45383.0</v>
      </c>
    </row>
    <row r="10">
      <c r="B10" s="14" t="s">
        <v>14</v>
      </c>
      <c r="C10" s="11"/>
      <c r="D10" s="15" t="s">
        <v>15</v>
      </c>
    </row>
    <row r="11">
      <c r="A11" s="16"/>
      <c r="B11" s="17" t="s">
        <v>16</v>
      </c>
      <c r="C11" s="18"/>
      <c r="D11" s="7"/>
    </row>
    <row r="12">
      <c r="B12" s="10" t="s">
        <v>6</v>
      </c>
      <c r="C12" s="11"/>
      <c r="D12" s="12" t="s">
        <v>17</v>
      </c>
    </row>
    <row r="13">
      <c r="B13" s="10" t="s">
        <v>8</v>
      </c>
      <c r="C13" s="11"/>
      <c r="D13" s="12" t="s">
        <v>17</v>
      </c>
    </row>
    <row r="14">
      <c r="B14" s="17" t="s">
        <v>18</v>
      </c>
      <c r="C14" s="18"/>
      <c r="D14" s="7"/>
    </row>
    <row r="15">
      <c r="B15" s="17" t="s">
        <v>19</v>
      </c>
      <c r="C15" s="18"/>
      <c r="D15" s="7"/>
    </row>
    <row r="16">
      <c r="A16" s="16"/>
      <c r="B16" s="10" t="s">
        <v>6</v>
      </c>
      <c r="C16" s="11"/>
      <c r="D16" s="19"/>
    </row>
    <row r="17">
      <c r="A17" s="16"/>
      <c r="B17" s="10" t="s">
        <v>8</v>
      </c>
      <c r="C17" s="11"/>
      <c r="D17" s="19"/>
    </row>
    <row r="18">
      <c r="A18" s="20"/>
      <c r="B18" s="17" t="s">
        <v>20</v>
      </c>
      <c r="C18" s="18"/>
      <c r="D18" s="7"/>
    </row>
    <row r="19">
      <c r="B19" s="10" t="s">
        <v>6</v>
      </c>
      <c r="C19" s="11"/>
      <c r="D19" s="19"/>
    </row>
    <row r="20">
      <c r="A20" s="16"/>
      <c r="B20" s="10" t="s">
        <v>8</v>
      </c>
      <c r="C20" s="11"/>
      <c r="D20" s="19"/>
    </row>
    <row r="21">
      <c r="A21" s="16"/>
      <c r="B21" s="21" t="s">
        <v>21</v>
      </c>
      <c r="C21" s="18"/>
      <c r="D21" s="7"/>
    </row>
    <row r="22">
      <c r="A22" s="16"/>
      <c r="B22" s="17" t="s">
        <v>19</v>
      </c>
      <c r="C22" s="18"/>
      <c r="D22" s="7"/>
    </row>
    <row r="23">
      <c r="A23" s="16"/>
      <c r="B23" s="10" t="s">
        <v>6</v>
      </c>
      <c r="C23" s="11"/>
      <c r="D23" s="22"/>
    </row>
    <row r="24">
      <c r="A24" s="16"/>
      <c r="B24" s="10" t="s">
        <v>8</v>
      </c>
      <c r="C24" s="11"/>
      <c r="D24" s="12"/>
    </row>
    <row r="25">
      <c r="A25" s="23"/>
      <c r="B25" s="17" t="s">
        <v>20</v>
      </c>
      <c r="C25" s="18"/>
      <c r="D25" s="7"/>
    </row>
    <row r="26">
      <c r="A26" s="16"/>
      <c r="B26" s="10" t="s">
        <v>6</v>
      </c>
      <c r="C26" s="11"/>
      <c r="D26" s="12"/>
      <c r="E26" s="16"/>
    </row>
    <row r="27">
      <c r="A27" s="16"/>
      <c r="B27" s="10" t="s">
        <v>8</v>
      </c>
      <c r="C27" s="11"/>
      <c r="D27" s="12"/>
      <c r="E27" s="16"/>
    </row>
    <row r="28">
      <c r="B28" s="17" t="s">
        <v>22</v>
      </c>
      <c r="C28" s="18"/>
      <c r="D28" s="7"/>
    </row>
    <row r="29">
      <c r="B29" s="10" t="s">
        <v>6</v>
      </c>
      <c r="C29" s="11"/>
      <c r="D29" s="24">
        <v>180000.0</v>
      </c>
    </row>
    <row r="30">
      <c r="B30" s="25" t="s">
        <v>8</v>
      </c>
      <c r="C30" s="26"/>
      <c r="D30" s="27">
        <v>300000.0</v>
      </c>
    </row>
  </sheetData>
  <mergeCells count="29">
    <mergeCell ref="C2:D2"/>
    <mergeCell ref="C3:D3"/>
    <mergeCell ref="C4:D4"/>
    <mergeCell ref="B5:C5"/>
    <mergeCell ref="B6:C6"/>
    <mergeCell ref="B7:C7"/>
    <mergeCell ref="B8:C8"/>
    <mergeCell ref="B9:C9"/>
    <mergeCell ref="B10:C10"/>
    <mergeCell ref="B11:D11"/>
    <mergeCell ref="B12:C12"/>
    <mergeCell ref="B13:C13"/>
    <mergeCell ref="B14:D14"/>
    <mergeCell ref="B15:D15"/>
    <mergeCell ref="B23:C23"/>
    <mergeCell ref="B24:C24"/>
    <mergeCell ref="B25:D25"/>
    <mergeCell ref="B26:C26"/>
    <mergeCell ref="B27:C27"/>
    <mergeCell ref="B28:D28"/>
    <mergeCell ref="B29:C29"/>
    <mergeCell ref="B30:C30"/>
    <mergeCell ref="B16:C16"/>
    <mergeCell ref="B17:C17"/>
    <mergeCell ref="B18:D18"/>
    <mergeCell ref="B19:C19"/>
    <mergeCell ref="B20:C20"/>
    <mergeCell ref="B21:D21"/>
    <mergeCell ref="B22:D22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5.13"/>
    <col customWidth="1" min="3" max="3" width="15.88"/>
    <col customWidth="1" min="5" max="5" width="15.38"/>
    <col customWidth="1" min="10" max="10" width="11.0"/>
    <col customWidth="1" min="11" max="11" width="10.63"/>
    <col customWidth="1" min="12" max="12" width="6.88"/>
    <col customWidth="1" min="13" max="13" width="7.25"/>
    <col customWidth="1" min="20" max="20" width="14.63"/>
    <col customWidth="1" min="21" max="21" width="5.0"/>
    <col customWidth="1" min="22" max="23" width="9.75"/>
    <col customWidth="1" min="24" max="24" width="6.88"/>
    <col customWidth="1" min="25" max="25" width="8.88"/>
    <col customWidth="1" min="26" max="26" width="9.63"/>
    <col customWidth="1" min="27" max="27" width="10.75"/>
    <col customWidth="1" min="28" max="28" width="12.0"/>
    <col customWidth="1" min="29" max="29" width="7.38"/>
    <col customWidth="1" min="30" max="30" width="6.25"/>
    <col customWidth="1" min="31" max="31" width="5.5"/>
    <col customWidth="1" min="32" max="32" width="7.63"/>
    <col customWidth="1" min="33" max="33" width="6.75"/>
    <col customWidth="1" min="34" max="34" width="8.88"/>
    <col customWidth="1" min="35" max="35" width="9.75"/>
  </cols>
  <sheetData>
    <row r="1">
      <c r="A1" s="28"/>
      <c r="B1" s="28"/>
      <c r="C1" s="28"/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>
      <c r="A2" s="28"/>
      <c r="B2" s="28"/>
      <c r="C2" s="28"/>
      <c r="D2" s="28"/>
      <c r="E2" s="31" t="s">
        <v>23</v>
      </c>
      <c r="F2" s="32"/>
      <c r="G2" s="33"/>
      <c r="H2" s="34">
        <f t="shared" ref="H2:J2" si="1">H30</f>
        <v>640000</v>
      </c>
      <c r="I2" s="35">
        <f t="shared" si="1"/>
        <v>142</v>
      </c>
      <c r="J2" s="35">
        <f t="shared" si="1"/>
        <v>92</v>
      </c>
      <c r="K2" s="36">
        <f t="shared" ref="K2:K5" si="4">I2/J2</f>
        <v>1.543478261</v>
      </c>
      <c r="L2" s="33"/>
      <c r="M2" s="33"/>
      <c r="N2" s="33"/>
      <c r="O2" s="37" t="s">
        <v>24</v>
      </c>
      <c r="P2" s="34">
        <f t="shared" ref="P2:Q2" si="2">P30</f>
        <v>4507.042254</v>
      </c>
      <c r="Q2" s="34">
        <f t="shared" si="2"/>
        <v>6956.521739</v>
      </c>
      <c r="R2" s="33"/>
      <c r="S2" s="38">
        <f>S30</f>
        <v>166.9274909</v>
      </c>
      <c r="T2" s="30"/>
      <c r="U2" s="30"/>
      <c r="V2" s="30"/>
      <c r="W2" s="30"/>
      <c r="X2" s="30"/>
      <c r="Y2" s="30"/>
    </row>
    <row r="3" ht="19.5" customHeight="1">
      <c r="A3" s="28"/>
      <c r="B3" s="28"/>
      <c r="C3" s="28"/>
      <c r="D3" s="28"/>
      <c r="E3" s="39"/>
      <c r="F3" s="40"/>
      <c r="G3" s="29"/>
      <c r="H3" s="41">
        <f t="shared" ref="H3:J3" si="3">H29</f>
        <v>340000</v>
      </c>
      <c r="I3" s="42">
        <f t="shared" si="3"/>
        <v>71.4</v>
      </c>
      <c r="J3" s="42">
        <f t="shared" si="3"/>
        <v>50</v>
      </c>
      <c r="K3" s="43">
        <f t="shared" si="4"/>
        <v>1.428</v>
      </c>
      <c r="L3" s="29"/>
      <c r="M3" s="29"/>
      <c r="N3" s="29"/>
      <c r="O3" s="44" t="s">
        <v>25</v>
      </c>
      <c r="P3" s="41">
        <f t="shared" ref="P3:Q3" si="5">P29</f>
        <v>4761.904762</v>
      </c>
      <c r="Q3" s="41">
        <f t="shared" si="5"/>
        <v>6800</v>
      </c>
      <c r="R3" s="29"/>
      <c r="S3" s="45">
        <f>S29</f>
        <v>176.366843</v>
      </c>
      <c r="T3" s="30"/>
      <c r="U3" s="30"/>
      <c r="V3" s="30"/>
      <c r="W3" s="30"/>
      <c r="X3" s="30"/>
      <c r="Y3" s="30"/>
    </row>
    <row r="4">
      <c r="A4" s="28"/>
      <c r="B4" s="28"/>
      <c r="C4" s="28"/>
      <c r="D4" s="28"/>
      <c r="E4" s="46" t="s">
        <v>26</v>
      </c>
      <c r="F4" s="47"/>
      <c r="G4" s="48"/>
      <c r="H4" s="49">
        <f>AVERAGE(434500,640000,272658)</f>
        <v>449052.6667</v>
      </c>
      <c r="I4" s="50">
        <f t="shared" ref="I4:J4" si="6">AVERAGE(126.5,I30,I32)</f>
        <v>120.8333333</v>
      </c>
      <c r="J4" s="50">
        <f t="shared" si="6"/>
        <v>94.16666667</v>
      </c>
      <c r="K4" s="51">
        <f t="shared" si="4"/>
        <v>1.283185841</v>
      </c>
      <c r="L4" s="30"/>
      <c r="M4" s="30"/>
      <c r="N4" s="30"/>
      <c r="O4" s="52" t="s">
        <v>24</v>
      </c>
      <c r="P4" s="49">
        <f>AVERAGE(3391,P30,P32)</f>
        <v>3599.553092</v>
      </c>
      <c r="Q4" s="49">
        <f>AVERAGE(4822,Q30,Q32)</f>
        <v>5346.267663</v>
      </c>
      <c r="R4" s="48"/>
      <c r="S4" s="53">
        <f>AVERAGE(129,S30,S32)</f>
        <v>137.3173906</v>
      </c>
      <c r="T4" s="48"/>
      <c r="U4" s="30"/>
      <c r="V4" s="30"/>
      <c r="W4" s="30"/>
      <c r="X4" s="30"/>
      <c r="Y4" s="30"/>
    </row>
    <row r="5">
      <c r="A5" s="28"/>
      <c r="B5" s="28"/>
      <c r="C5" s="28"/>
      <c r="D5" s="28"/>
      <c r="E5" s="39"/>
      <c r="F5" s="40"/>
      <c r="G5" s="54"/>
      <c r="H5" s="41">
        <f>(238250+209000+194250+155500+190000+150000+340000)/7</f>
        <v>211000</v>
      </c>
      <c r="I5" s="55">
        <f t="shared" ref="I5:J5" si="7">AVERAGE(70.8,I27,I28,I31,I33)</f>
        <v>65.88</v>
      </c>
      <c r="J5" s="55">
        <f t="shared" si="7"/>
        <v>57.62</v>
      </c>
      <c r="K5" s="43">
        <f t="shared" si="4"/>
        <v>1.143353002</v>
      </c>
      <c r="L5" s="29"/>
      <c r="M5" s="29"/>
      <c r="N5" s="29"/>
      <c r="O5" s="44" t="s">
        <v>25</v>
      </c>
      <c r="P5" s="41">
        <f>AVERAGE(3774,P27,P28,P31,P33)</f>
        <v>3081.60849</v>
      </c>
      <c r="Q5" s="41">
        <f>AVERAGE(5260,Q27,Q28,Q31,Q33)</f>
        <v>3977.750191</v>
      </c>
      <c r="R5" s="54"/>
      <c r="S5" s="45">
        <f>AVERAGE(133,S27,S28,S31,S33)</f>
        <v>113.5653756</v>
      </c>
      <c r="T5" s="48"/>
      <c r="U5" s="30"/>
      <c r="V5" s="30"/>
      <c r="W5" s="30"/>
      <c r="X5" s="30"/>
      <c r="Y5" s="30"/>
    </row>
    <row r="6">
      <c r="A6" s="28"/>
      <c r="B6" s="28"/>
      <c r="C6" s="28"/>
      <c r="D6" s="28"/>
      <c r="E6" s="31" t="s">
        <v>27</v>
      </c>
      <c r="F6" s="47"/>
      <c r="G6" s="30"/>
      <c r="H6" s="56">
        <f t="shared" ref="H6:I6" si="8">(H2-H4)/H4</f>
        <v>0.4252225797</v>
      </c>
      <c r="I6" s="56">
        <f t="shared" si="8"/>
        <v>0.1751724138</v>
      </c>
      <c r="J6" s="30"/>
      <c r="K6" s="30"/>
      <c r="L6" s="30"/>
      <c r="M6" s="30"/>
      <c r="N6" s="30"/>
      <c r="O6" s="52" t="s">
        <v>24</v>
      </c>
      <c r="P6" s="56">
        <f t="shared" ref="P6:Q6" si="9">(P2-P4)/P4</f>
        <v>0.2521116202</v>
      </c>
      <c r="Q6" s="56">
        <f t="shared" si="9"/>
        <v>0.3011921919</v>
      </c>
      <c r="R6" s="57"/>
      <c r="S6" s="58">
        <f t="shared" ref="S6:S7" si="12">(S2-S4)/S4</f>
        <v>0.2156325588</v>
      </c>
      <c r="T6" s="57"/>
      <c r="U6" s="30"/>
      <c r="V6" s="30"/>
      <c r="W6" s="30"/>
      <c r="X6" s="30"/>
      <c r="Y6" s="30"/>
    </row>
    <row r="7" ht="19.5" customHeight="1">
      <c r="A7" s="28"/>
      <c r="B7" s="28"/>
      <c r="C7" s="28"/>
      <c r="D7" s="28"/>
      <c r="E7" s="39"/>
      <c r="F7" s="40"/>
      <c r="G7" s="29"/>
      <c r="H7" s="59">
        <f t="shared" ref="H7:I7" si="10">(H3-H5)/H5</f>
        <v>0.6113744076</v>
      </c>
      <c r="I7" s="59">
        <f t="shared" si="10"/>
        <v>0.08378870674</v>
      </c>
      <c r="J7" s="29"/>
      <c r="K7" s="29"/>
      <c r="L7" s="29"/>
      <c r="M7" s="29"/>
      <c r="N7" s="29"/>
      <c r="O7" s="44" t="s">
        <v>25</v>
      </c>
      <c r="P7" s="59">
        <f t="shared" ref="P7:Q7" si="11">(P3-P5)/P5</f>
        <v>0.5452659796</v>
      </c>
      <c r="Q7" s="59">
        <f t="shared" si="11"/>
        <v>0.7095090625</v>
      </c>
      <c r="R7" s="60"/>
      <c r="S7" s="61">
        <f t="shared" si="12"/>
        <v>0.5529983688</v>
      </c>
      <c r="T7" s="57"/>
      <c r="U7" s="30"/>
      <c r="V7" s="30"/>
      <c r="W7" s="30"/>
      <c r="X7" s="30"/>
      <c r="Y7" s="30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30"/>
      <c r="U8" s="30"/>
      <c r="V8" s="30"/>
      <c r="W8" s="30"/>
      <c r="X8" s="30"/>
      <c r="Y8" s="30"/>
    </row>
    <row r="9">
      <c r="A9" s="30"/>
      <c r="B9" s="62"/>
      <c r="C9" s="63"/>
      <c r="D9" s="64" t="s">
        <v>28</v>
      </c>
      <c r="E9" s="65"/>
      <c r="F9" s="64" t="s">
        <v>29</v>
      </c>
      <c r="G9" s="65"/>
      <c r="H9" s="64" t="s">
        <v>30</v>
      </c>
      <c r="I9" s="3"/>
      <c r="J9" s="28"/>
      <c r="K9" s="28"/>
      <c r="L9" s="28"/>
      <c r="M9" s="28"/>
      <c r="N9" s="28"/>
      <c r="O9" s="28"/>
      <c r="P9" s="28"/>
      <c r="Q9" s="28"/>
      <c r="R9" s="28"/>
      <c r="S9" s="28"/>
      <c r="T9" s="48"/>
      <c r="U9" s="30"/>
      <c r="V9" s="30"/>
      <c r="W9" s="30"/>
      <c r="X9" s="30"/>
      <c r="Y9" s="30"/>
    </row>
    <row r="10">
      <c r="A10" s="30"/>
      <c r="B10" s="66"/>
      <c r="C10" s="67"/>
      <c r="D10" s="68" t="s">
        <v>31</v>
      </c>
      <c r="E10" s="68" t="s">
        <v>32</v>
      </c>
      <c r="F10" s="68" t="s">
        <v>31</v>
      </c>
      <c r="G10" s="68" t="s">
        <v>32</v>
      </c>
      <c r="H10" s="68" t="s">
        <v>31</v>
      </c>
      <c r="I10" s="69" t="s">
        <v>32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48"/>
      <c r="U10" s="30"/>
      <c r="V10" s="30"/>
      <c r="W10" s="30"/>
      <c r="X10" s="30"/>
      <c r="Y10" s="30"/>
      <c r="Z10" s="48"/>
      <c r="AA10" s="48"/>
      <c r="AB10" s="48"/>
      <c r="AC10" s="48"/>
      <c r="AD10" s="48"/>
      <c r="AE10" s="48"/>
      <c r="AF10" s="48"/>
      <c r="AG10" s="48"/>
      <c r="AH10" s="48"/>
      <c r="AI10" s="48"/>
    </row>
    <row r="11">
      <c r="A11" s="30"/>
      <c r="B11" s="70">
        <v>1.0</v>
      </c>
      <c r="C11" s="71" t="s">
        <v>33</v>
      </c>
      <c r="D11" s="71">
        <f>H3</f>
        <v>340000</v>
      </c>
      <c r="E11" s="71">
        <f>H2</f>
        <v>640000</v>
      </c>
      <c r="F11" s="71">
        <f>H5</f>
        <v>211000</v>
      </c>
      <c r="G11" s="71">
        <f>H4</f>
        <v>449052.6667</v>
      </c>
      <c r="H11" s="72">
        <f t="shared" ref="H11:I11" si="13">(D11-F11)/F11</f>
        <v>0.6113744076</v>
      </c>
      <c r="I11" s="73">
        <f t="shared" si="13"/>
        <v>0.4252225797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48"/>
      <c r="U11" s="30"/>
      <c r="V11" s="30"/>
      <c r="W11" s="30"/>
      <c r="X11" s="30"/>
      <c r="Y11" s="30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>
      <c r="A12" s="30"/>
      <c r="B12" s="74">
        <v>2.0</v>
      </c>
      <c r="C12" s="75" t="s">
        <v>34</v>
      </c>
      <c r="D12" s="71">
        <f>P3</f>
        <v>4761.904762</v>
      </c>
      <c r="E12" s="71">
        <f>P2</f>
        <v>4507.042254</v>
      </c>
      <c r="F12" s="71">
        <f>P5</f>
        <v>3081.60849</v>
      </c>
      <c r="G12" s="71">
        <f>P4</f>
        <v>3599.553092</v>
      </c>
      <c r="H12" s="72">
        <f t="shared" ref="H12:I12" si="14">(D12-F12)/F12</f>
        <v>0.5452659796</v>
      </c>
      <c r="I12" s="73">
        <f t="shared" si="14"/>
        <v>0.2521116202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48"/>
      <c r="U12" s="30"/>
      <c r="V12" s="30"/>
      <c r="W12" s="30"/>
      <c r="X12" s="30"/>
      <c r="Y12" s="30"/>
      <c r="Z12" s="48"/>
      <c r="AA12" s="48"/>
      <c r="AB12" s="48"/>
      <c r="AC12" s="48"/>
      <c r="AD12" s="48"/>
      <c r="AE12" s="48"/>
      <c r="AF12" s="48"/>
      <c r="AG12" s="48"/>
      <c r="AH12" s="48"/>
      <c r="AI12" s="48"/>
    </row>
    <row r="13">
      <c r="A13" s="30"/>
      <c r="B13" s="70">
        <v>3.0</v>
      </c>
      <c r="C13" s="76" t="s">
        <v>35</v>
      </c>
      <c r="D13" s="71">
        <f>Q3</f>
        <v>6800</v>
      </c>
      <c r="E13" s="71">
        <f>Q2</f>
        <v>6956.521739</v>
      </c>
      <c r="F13" s="71">
        <f>Q5</f>
        <v>3977.750191</v>
      </c>
      <c r="G13" s="71">
        <f>Q4</f>
        <v>5346.267663</v>
      </c>
      <c r="H13" s="72">
        <f t="shared" ref="H13:I13" si="15">(D13-F13)/F13</f>
        <v>0.7095090625</v>
      </c>
      <c r="I13" s="73">
        <f t="shared" si="15"/>
        <v>0.3011921919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48"/>
      <c r="U13" s="30"/>
      <c r="V13" s="30"/>
      <c r="W13" s="30"/>
      <c r="X13" s="30"/>
      <c r="Y13" s="30"/>
      <c r="Z13" s="48"/>
      <c r="AA13" s="48"/>
      <c r="AB13" s="48"/>
      <c r="AC13" s="48"/>
      <c r="AD13" s="48"/>
      <c r="AE13" s="48"/>
      <c r="AF13" s="48"/>
      <c r="AG13" s="48"/>
      <c r="AH13" s="48"/>
      <c r="AI13" s="48"/>
    </row>
    <row r="14">
      <c r="A14" s="30"/>
      <c r="B14" s="70">
        <v>4.0</v>
      </c>
      <c r="C14" s="76" t="s">
        <v>36</v>
      </c>
      <c r="D14" s="71">
        <f>S3</f>
        <v>176.366843</v>
      </c>
      <c r="E14" s="71">
        <f>S2</f>
        <v>166.9274909</v>
      </c>
      <c r="F14" s="71">
        <f>S5</f>
        <v>113.5653756</v>
      </c>
      <c r="G14" s="71">
        <f>S4</f>
        <v>137.3173906</v>
      </c>
      <c r="H14" s="72">
        <f t="shared" ref="H14:I14" si="16">(D14-F14)/F14</f>
        <v>0.5529983688</v>
      </c>
      <c r="I14" s="73">
        <f t="shared" si="16"/>
        <v>0.2156325588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48"/>
      <c r="U14" s="30"/>
      <c r="V14" s="30"/>
      <c r="W14" s="30"/>
      <c r="X14" s="30"/>
      <c r="Y14" s="30"/>
      <c r="Z14" s="48"/>
      <c r="AA14" s="48"/>
      <c r="AB14" s="48"/>
      <c r="AC14" s="48"/>
      <c r="AD14" s="48"/>
      <c r="AE14" s="48"/>
      <c r="AF14" s="48"/>
      <c r="AG14" s="48"/>
      <c r="AH14" s="48"/>
      <c r="AI14" s="48"/>
    </row>
    <row r="15">
      <c r="A15" s="30"/>
      <c r="B15" s="74">
        <v>5.0</v>
      </c>
      <c r="C15" s="77" t="s">
        <v>37</v>
      </c>
      <c r="D15" s="78">
        <v>71.4</v>
      </c>
      <c r="E15" s="78">
        <v>142.0</v>
      </c>
      <c r="F15" s="79">
        <f>I5</f>
        <v>65.88</v>
      </c>
      <c r="G15" s="79">
        <f>J4</f>
        <v>94.16666667</v>
      </c>
      <c r="H15" s="80">
        <f t="shared" ref="H15:I15" si="17">(D15-F15)/F15</f>
        <v>0.08378870674</v>
      </c>
      <c r="I15" s="81">
        <f t="shared" si="17"/>
        <v>0.5079646018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48"/>
      <c r="U15" s="30"/>
      <c r="V15" s="30"/>
      <c r="W15" s="30"/>
      <c r="X15" s="30"/>
      <c r="Y15" s="30"/>
      <c r="Z15" s="48"/>
      <c r="AA15" s="48"/>
      <c r="AB15" s="48"/>
      <c r="AC15" s="48"/>
      <c r="AD15" s="48"/>
      <c r="AE15" s="48"/>
      <c r="AF15" s="48"/>
      <c r="AG15" s="48"/>
      <c r="AH15" s="48"/>
      <c r="AI15" s="48"/>
    </row>
    <row r="16">
      <c r="A16" s="30"/>
      <c r="B16" s="82">
        <v>6.0</v>
      </c>
      <c r="C16" s="83" t="s">
        <v>38</v>
      </c>
      <c r="D16" s="84">
        <f>K3</f>
        <v>1.428</v>
      </c>
      <c r="E16" s="84">
        <f>K2</f>
        <v>1.543478261</v>
      </c>
      <c r="F16" s="84">
        <f>K5</f>
        <v>1.143353002</v>
      </c>
      <c r="G16" s="84">
        <f>K4</f>
        <v>1.283185841</v>
      </c>
      <c r="H16" s="85">
        <f t="shared" ref="H16:I16" si="18">(D16-F16)/F16</f>
        <v>0.2489581056</v>
      </c>
      <c r="I16" s="86">
        <f t="shared" si="18"/>
        <v>0.2028485757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48"/>
      <c r="U16" s="30"/>
      <c r="V16" s="30"/>
      <c r="W16" s="30"/>
      <c r="X16" s="30"/>
      <c r="Y16" s="30"/>
      <c r="Z16" s="48"/>
      <c r="AA16" s="48"/>
      <c r="AB16" s="48"/>
      <c r="AC16" s="48"/>
      <c r="AD16" s="48"/>
      <c r="AE16" s="48"/>
      <c r="AF16" s="48"/>
      <c r="AG16" s="48"/>
      <c r="AH16" s="48"/>
      <c r="AI16" s="48"/>
    </row>
    <row r="17">
      <c r="A17" s="30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48"/>
      <c r="U17" s="30"/>
      <c r="V17" s="30"/>
      <c r="W17" s="30"/>
      <c r="X17" s="30"/>
      <c r="Y17" s="30"/>
      <c r="Z17" s="48"/>
      <c r="AA17" s="48"/>
      <c r="AB17" s="48"/>
      <c r="AC17" s="48"/>
      <c r="AD17" s="48"/>
      <c r="AE17" s="48"/>
      <c r="AF17" s="48"/>
      <c r="AG17" s="48"/>
      <c r="AH17" s="48"/>
      <c r="AI17" s="48"/>
    </row>
    <row r="18">
      <c r="A18" s="88"/>
      <c r="B18" s="89" t="s">
        <v>39</v>
      </c>
      <c r="C18" s="89" t="s">
        <v>40</v>
      </c>
      <c r="D18" s="90" t="s">
        <v>41</v>
      </c>
      <c r="E18" s="91"/>
      <c r="F18" s="89" t="s">
        <v>42</v>
      </c>
      <c r="G18" s="89" t="s">
        <v>43</v>
      </c>
      <c r="H18" s="92" t="s">
        <v>44</v>
      </c>
      <c r="I18" s="93" t="s">
        <v>45</v>
      </c>
      <c r="J18" s="93" t="s">
        <v>46</v>
      </c>
      <c r="K18" s="89" t="s">
        <v>47</v>
      </c>
      <c r="L18" s="89" t="s">
        <v>48</v>
      </c>
      <c r="M18" s="89" t="s">
        <v>49</v>
      </c>
      <c r="N18" s="89" t="s">
        <v>50</v>
      </c>
      <c r="O18" s="89" t="s">
        <v>51</v>
      </c>
      <c r="P18" s="89" t="s">
        <v>52</v>
      </c>
      <c r="Q18" s="89" t="s">
        <v>53</v>
      </c>
      <c r="R18" s="89" t="s">
        <v>54</v>
      </c>
      <c r="S18" s="89" t="s">
        <v>55</v>
      </c>
      <c r="T18" s="94" t="s">
        <v>56</v>
      </c>
      <c r="U18" s="94"/>
      <c r="V18" s="94" t="s">
        <v>39</v>
      </c>
      <c r="W18" s="94" t="s">
        <v>40</v>
      </c>
      <c r="X18" s="94" t="s">
        <v>57</v>
      </c>
      <c r="Y18" s="94" t="s">
        <v>58</v>
      </c>
      <c r="Z18" s="95" t="s">
        <v>59</v>
      </c>
      <c r="AA18" s="95" t="s">
        <v>60</v>
      </c>
      <c r="AB18" s="95" t="s">
        <v>61</v>
      </c>
      <c r="AC18" s="95" t="s">
        <v>62</v>
      </c>
      <c r="AD18" s="95" t="s">
        <v>63</v>
      </c>
      <c r="AE18" s="95" t="s">
        <v>64</v>
      </c>
      <c r="AF18" s="95" t="s">
        <v>65</v>
      </c>
      <c r="AG18" s="95" t="s">
        <v>66</v>
      </c>
      <c r="AH18" s="95" t="s">
        <v>67</v>
      </c>
      <c r="AI18" s="95" t="s">
        <v>68</v>
      </c>
    </row>
    <row r="19">
      <c r="A19" s="96"/>
      <c r="B19" s="97" t="s">
        <v>69</v>
      </c>
      <c r="C19" s="97" t="s">
        <v>70</v>
      </c>
      <c r="D19" s="98" t="s">
        <v>71</v>
      </c>
      <c r="E19" s="99" t="s">
        <v>72</v>
      </c>
      <c r="F19" s="100">
        <v>2025.0</v>
      </c>
      <c r="G19" s="100" t="s">
        <v>73</v>
      </c>
      <c r="H19" s="101">
        <v>195000.0</v>
      </c>
      <c r="I19" s="102">
        <v>47.3</v>
      </c>
      <c r="J19" s="102">
        <v>32.7</v>
      </c>
      <c r="K19" s="100">
        <v>27.0</v>
      </c>
      <c r="L19" s="100">
        <v>1.0</v>
      </c>
      <c r="M19" s="100">
        <v>1.0</v>
      </c>
      <c r="N19" s="99">
        <v>5.0</v>
      </c>
      <c r="O19" s="103" t="s">
        <v>74</v>
      </c>
      <c r="P19" s="101">
        <f t="shared" ref="P19:P34" si="19">H19/I19</f>
        <v>4122.621564</v>
      </c>
      <c r="Q19" s="101">
        <f t="shared" ref="Q19:Q20" si="20">H19/J19</f>
        <v>5963.302752</v>
      </c>
      <c r="R19" s="101">
        <f t="shared" ref="R19:R34" si="21">H19/K19</f>
        <v>7222.222222</v>
      </c>
      <c r="S19" s="101">
        <f t="shared" ref="S19:S32" si="22">R19/I19</f>
        <v>152.6896876</v>
      </c>
      <c r="T19" s="104"/>
      <c r="U19" s="105"/>
      <c r="V19" s="97" t="s">
        <v>69</v>
      </c>
      <c r="W19" s="97" t="s">
        <v>70</v>
      </c>
      <c r="X19" s="106"/>
      <c r="Y19" s="106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</row>
    <row r="20">
      <c r="A20" s="96"/>
      <c r="B20" s="97" t="s">
        <v>69</v>
      </c>
      <c r="C20" s="97" t="s">
        <v>70</v>
      </c>
      <c r="D20" s="98" t="s">
        <v>71</v>
      </c>
      <c r="E20" s="99" t="s">
        <v>72</v>
      </c>
      <c r="F20" s="100">
        <v>2025.0</v>
      </c>
      <c r="G20" s="100" t="s">
        <v>73</v>
      </c>
      <c r="H20" s="101">
        <v>149000.0</v>
      </c>
      <c r="I20" s="102">
        <v>39.9</v>
      </c>
      <c r="J20" s="102">
        <v>32.7</v>
      </c>
      <c r="K20" s="100">
        <v>27.0</v>
      </c>
      <c r="L20" s="100">
        <v>1.0</v>
      </c>
      <c r="M20" s="100">
        <v>1.0</v>
      </c>
      <c r="N20" s="99">
        <v>5.0</v>
      </c>
      <c r="O20" s="103" t="s">
        <v>74</v>
      </c>
      <c r="P20" s="101">
        <f t="shared" si="19"/>
        <v>3734.33584</v>
      </c>
      <c r="Q20" s="101">
        <f t="shared" si="20"/>
        <v>4556.574924</v>
      </c>
      <c r="R20" s="101">
        <f t="shared" si="21"/>
        <v>5518.518519</v>
      </c>
      <c r="S20" s="101">
        <f t="shared" si="22"/>
        <v>138.3087348</v>
      </c>
      <c r="T20" s="104"/>
      <c r="U20" s="105"/>
      <c r="V20" s="97" t="s">
        <v>69</v>
      </c>
      <c r="W20" s="97" t="s">
        <v>70</v>
      </c>
      <c r="X20" s="106"/>
      <c r="Y20" s="106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</row>
    <row r="21">
      <c r="A21" s="96"/>
      <c r="B21" s="97" t="s">
        <v>69</v>
      </c>
      <c r="C21" s="97" t="s">
        <v>70</v>
      </c>
      <c r="D21" s="98" t="s">
        <v>71</v>
      </c>
      <c r="E21" s="99" t="s">
        <v>72</v>
      </c>
      <c r="F21" s="100">
        <v>2025.0</v>
      </c>
      <c r="G21" s="100" t="s">
        <v>73</v>
      </c>
      <c r="H21" s="101">
        <v>149000.0</v>
      </c>
      <c r="I21" s="102">
        <v>43.0</v>
      </c>
      <c r="J21" s="107"/>
      <c r="K21" s="100">
        <v>27.0</v>
      </c>
      <c r="L21" s="100">
        <v>1.0</v>
      </c>
      <c r="M21" s="100">
        <v>1.0</v>
      </c>
      <c r="N21" s="99">
        <v>5.0</v>
      </c>
      <c r="O21" s="103" t="s">
        <v>74</v>
      </c>
      <c r="P21" s="101">
        <f t="shared" si="19"/>
        <v>3465.116279</v>
      </c>
      <c r="Q21" s="108"/>
      <c r="R21" s="101">
        <f t="shared" si="21"/>
        <v>5518.518519</v>
      </c>
      <c r="S21" s="101">
        <f t="shared" si="22"/>
        <v>128.33764</v>
      </c>
      <c r="T21" s="104"/>
      <c r="U21" s="105"/>
      <c r="V21" s="97" t="s">
        <v>69</v>
      </c>
      <c r="W21" s="97" t="s">
        <v>70</v>
      </c>
      <c r="X21" s="106"/>
      <c r="Y21" s="106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</row>
    <row r="22">
      <c r="A22" s="96"/>
      <c r="B22" s="97" t="s">
        <v>69</v>
      </c>
      <c r="C22" s="97" t="s">
        <v>70</v>
      </c>
      <c r="D22" s="98" t="s">
        <v>71</v>
      </c>
      <c r="E22" s="99" t="s">
        <v>72</v>
      </c>
      <c r="F22" s="100">
        <v>2025.0</v>
      </c>
      <c r="G22" s="100" t="s">
        <v>73</v>
      </c>
      <c r="H22" s="101">
        <v>490000.0</v>
      </c>
      <c r="I22" s="102">
        <v>142.0</v>
      </c>
      <c r="J22" s="102">
        <v>103.5</v>
      </c>
      <c r="K22" s="100">
        <v>27.0</v>
      </c>
      <c r="L22" s="100">
        <v>2.0</v>
      </c>
      <c r="M22" s="100">
        <v>2.5</v>
      </c>
      <c r="N22" s="99">
        <v>5.0</v>
      </c>
      <c r="O22" s="103" t="s">
        <v>74</v>
      </c>
      <c r="P22" s="101">
        <f t="shared" si="19"/>
        <v>3450.704225</v>
      </c>
      <c r="Q22" s="101">
        <f t="shared" ref="Q22:Q26" si="23">H22/J22</f>
        <v>4734.299517</v>
      </c>
      <c r="R22" s="101">
        <f t="shared" si="21"/>
        <v>18148.14815</v>
      </c>
      <c r="S22" s="101">
        <f t="shared" si="22"/>
        <v>127.8038602</v>
      </c>
      <c r="T22" s="104"/>
      <c r="U22" s="105"/>
      <c r="V22" s="97" t="s">
        <v>69</v>
      </c>
      <c r="W22" s="97" t="s">
        <v>70</v>
      </c>
      <c r="X22" s="106"/>
      <c r="Y22" s="106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</row>
    <row r="23">
      <c r="A23" s="96"/>
      <c r="B23" s="97" t="s">
        <v>69</v>
      </c>
      <c r="C23" s="97" t="s">
        <v>70</v>
      </c>
      <c r="D23" s="98" t="s">
        <v>71</v>
      </c>
      <c r="E23" s="99" t="s">
        <v>72</v>
      </c>
      <c r="F23" s="100">
        <v>2025.0</v>
      </c>
      <c r="G23" s="100" t="s">
        <v>73</v>
      </c>
      <c r="H23" s="101">
        <v>385000.0</v>
      </c>
      <c r="I23" s="102">
        <v>110.6</v>
      </c>
      <c r="J23" s="102">
        <v>106.4</v>
      </c>
      <c r="K23" s="100">
        <v>27.0</v>
      </c>
      <c r="L23" s="100">
        <v>2.0</v>
      </c>
      <c r="M23" s="100">
        <v>2.5</v>
      </c>
      <c r="N23" s="99">
        <v>5.0</v>
      </c>
      <c r="O23" s="103" t="s">
        <v>74</v>
      </c>
      <c r="P23" s="101">
        <f t="shared" si="19"/>
        <v>3481.012658</v>
      </c>
      <c r="Q23" s="101">
        <f t="shared" si="23"/>
        <v>3618.421053</v>
      </c>
      <c r="R23" s="101">
        <f t="shared" si="21"/>
        <v>14259.25926</v>
      </c>
      <c r="S23" s="101">
        <f t="shared" si="22"/>
        <v>128.9263947</v>
      </c>
      <c r="T23" s="104"/>
      <c r="U23" s="105"/>
      <c r="V23" s="97" t="s">
        <v>69</v>
      </c>
      <c r="W23" s="97" t="s">
        <v>70</v>
      </c>
      <c r="X23" s="106"/>
      <c r="Y23" s="106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</row>
    <row r="24">
      <c r="A24" s="96"/>
      <c r="B24" s="97" t="s">
        <v>69</v>
      </c>
      <c r="C24" s="97" t="s">
        <v>70</v>
      </c>
      <c r="D24" s="98" t="s">
        <v>71</v>
      </c>
      <c r="E24" s="99" t="s">
        <v>72</v>
      </c>
      <c r="F24" s="100">
        <v>2025.0</v>
      </c>
      <c r="G24" s="100" t="s">
        <v>73</v>
      </c>
      <c r="H24" s="101">
        <v>660000.0</v>
      </c>
      <c r="I24" s="102">
        <v>198.3</v>
      </c>
      <c r="J24" s="102">
        <v>103.5</v>
      </c>
      <c r="K24" s="100">
        <v>27.0</v>
      </c>
      <c r="L24" s="100">
        <v>2.0</v>
      </c>
      <c r="M24" s="100">
        <v>2.5</v>
      </c>
      <c r="N24" s="99">
        <v>5.0</v>
      </c>
      <c r="O24" s="103" t="s">
        <v>74</v>
      </c>
      <c r="P24" s="101">
        <f t="shared" si="19"/>
        <v>3328.290469</v>
      </c>
      <c r="Q24" s="101">
        <f t="shared" si="23"/>
        <v>6376.811594</v>
      </c>
      <c r="R24" s="101">
        <f t="shared" si="21"/>
        <v>24444.44444</v>
      </c>
      <c r="S24" s="101">
        <f t="shared" si="22"/>
        <v>123.2700174</v>
      </c>
      <c r="T24" s="104"/>
      <c r="U24" s="105"/>
      <c r="V24" s="97" t="s">
        <v>69</v>
      </c>
      <c r="W24" s="97" t="s">
        <v>70</v>
      </c>
      <c r="X24" s="106"/>
      <c r="Y24" s="106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</row>
    <row r="25">
      <c r="A25" s="96"/>
      <c r="B25" s="97" t="s">
        <v>69</v>
      </c>
      <c r="C25" s="97" t="s">
        <v>70</v>
      </c>
      <c r="D25" s="98" t="s">
        <v>71</v>
      </c>
      <c r="E25" s="99" t="s">
        <v>72</v>
      </c>
      <c r="F25" s="100">
        <v>2025.0</v>
      </c>
      <c r="G25" s="100" t="s">
        <v>73</v>
      </c>
      <c r="H25" s="101">
        <v>203000.0</v>
      </c>
      <c r="I25" s="102">
        <v>55.0</v>
      </c>
      <c r="J25" s="102">
        <v>44.54</v>
      </c>
      <c r="K25" s="100">
        <v>27.0</v>
      </c>
      <c r="L25" s="100">
        <v>2.0</v>
      </c>
      <c r="M25" s="100">
        <v>2.5</v>
      </c>
      <c r="N25" s="99">
        <v>5.0</v>
      </c>
      <c r="O25" s="103" t="s">
        <v>74</v>
      </c>
      <c r="P25" s="101">
        <f t="shared" si="19"/>
        <v>3690.909091</v>
      </c>
      <c r="Q25" s="101">
        <f t="shared" si="23"/>
        <v>4557.700943</v>
      </c>
      <c r="R25" s="101">
        <f t="shared" si="21"/>
        <v>7518.518519</v>
      </c>
      <c r="S25" s="101">
        <f t="shared" si="22"/>
        <v>136.7003367</v>
      </c>
      <c r="T25" s="104"/>
      <c r="U25" s="105"/>
      <c r="V25" s="97" t="s">
        <v>69</v>
      </c>
      <c r="W25" s="97" t="s">
        <v>70</v>
      </c>
      <c r="X25" s="106"/>
      <c r="Y25" s="106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</row>
    <row r="26">
      <c r="A26" s="96"/>
      <c r="B26" s="97" t="s">
        <v>69</v>
      </c>
      <c r="C26" s="97" t="s">
        <v>70</v>
      </c>
      <c r="D26" s="98" t="s">
        <v>71</v>
      </c>
      <c r="E26" s="99" t="s">
        <v>72</v>
      </c>
      <c r="F26" s="100">
        <v>2025.0</v>
      </c>
      <c r="G26" s="100" t="s">
        <v>73</v>
      </c>
      <c r="H26" s="101">
        <v>460000.0</v>
      </c>
      <c r="I26" s="102">
        <v>153.0</v>
      </c>
      <c r="J26" s="102">
        <f>71.82</f>
        <v>71.82</v>
      </c>
      <c r="K26" s="100">
        <v>27.0</v>
      </c>
      <c r="L26" s="100">
        <v>1.0</v>
      </c>
      <c r="M26" s="100">
        <v>1.5</v>
      </c>
      <c r="N26" s="99">
        <v>5.0</v>
      </c>
      <c r="O26" s="103" t="s">
        <v>74</v>
      </c>
      <c r="P26" s="109">
        <f t="shared" si="19"/>
        <v>3006.535948</v>
      </c>
      <c r="Q26" s="109">
        <f t="shared" si="23"/>
        <v>6404.901142</v>
      </c>
      <c r="R26" s="101">
        <f t="shared" si="21"/>
        <v>17037.03704</v>
      </c>
      <c r="S26" s="101">
        <f t="shared" si="22"/>
        <v>111.3531832</v>
      </c>
      <c r="T26" s="104"/>
      <c r="U26" s="105"/>
      <c r="V26" s="97" t="s">
        <v>69</v>
      </c>
      <c r="W26" s="97" t="s">
        <v>70</v>
      </c>
      <c r="X26" s="106"/>
      <c r="Y26" s="106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</row>
    <row r="27">
      <c r="A27" s="96"/>
      <c r="B27" s="97" t="s">
        <v>75</v>
      </c>
      <c r="C27" s="97" t="s">
        <v>76</v>
      </c>
      <c r="D27" s="98" t="s">
        <v>71</v>
      </c>
      <c r="E27" s="110" t="s">
        <v>77</v>
      </c>
      <c r="F27" s="100">
        <v>2024.0</v>
      </c>
      <c r="G27" s="100" t="s">
        <v>78</v>
      </c>
      <c r="H27" s="101">
        <v>209000.0</v>
      </c>
      <c r="I27" s="102">
        <v>60.0</v>
      </c>
      <c r="J27" s="107"/>
      <c r="K27" s="100">
        <v>24.0</v>
      </c>
      <c r="L27" s="100">
        <v>1.0</v>
      </c>
      <c r="M27" s="100">
        <v>1.0</v>
      </c>
      <c r="N27" s="110">
        <v>5.0</v>
      </c>
      <c r="O27" s="100" t="s">
        <v>74</v>
      </c>
      <c r="P27" s="101">
        <f t="shared" si="19"/>
        <v>3483.333333</v>
      </c>
      <c r="Q27" s="105"/>
      <c r="R27" s="101">
        <f t="shared" si="21"/>
        <v>8708.333333</v>
      </c>
      <c r="S27" s="101">
        <f t="shared" si="22"/>
        <v>145.1388889</v>
      </c>
      <c r="T27" s="104"/>
      <c r="U27" s="105"/>
      <c r="V27" s="97" t="s">
        <v>75</v>
      </c>
      <c r="W27" s="97" t="s">
        <v>76</v>
      </c>
      <c r="X27" s="106"/>
      <c r="Y27" s="106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</row>
    <row r="28">
      <c r="A28" s="96"/>
      <c r="B28" s="111" t="s">
        <v>79</v>
      </c>
      <c r="C28" s="97" t="s">
        <v>80</v>
      </c>
      <c r="D28" s="112" t="s">
        <v>71</v>
      </c>
      <c r="E28" s="100" t="s">
        <v>72</v>
      </c>
      <c r="F28" s="100">
        <v>2024.0</v>
      </c>
      <c r="G28" s="100" t="s">
        <v>78</v>
      </c>
      <c r="H28" s="101">
        <f>175000*1.11</f>
        <v>194250</v>
      </c>
      <c r="I28" s="100">
        <v>70.0</v>
      </c>
      <c r="J28" s="100">
        <f>I28-18</f>
        <v>52</v>
      </c>
      <c r="K28" s="100">
        <v>30.0</v>
      </c>
      <c r="L28" s="100">
        <v>1.0</v>
      </c>
      <c r="M28" s="100">
        <v>1.0</v>
      </c>
      <c r="N28" s="110">
        <v>3.0</v>
      </c>
      <c r="O28" s="100" t="s">
        <v>74</v>
      </c>
      <c r="P28" s="101">
        <f t="shared" si="19"/>
        <v>2775</v>
      </c>
      <c r="Q28" s="113">
        <f t="shared" ref="Q28:Q34" si="24">H28/J28</f>
        <v>3735.576923</v>
      </c>
      <c r="R28" s="101">
        <f t="shared" si="21"/>
        <v>6475</v>
      </c>
      <c r="S28" s="101">
        <f t="shared" si="22"/>
        <v>92.5</v>
      </c>
      <c r="T28" s="104"/>
      <c r="U28" s="105"/>
      <c r="V28" s="111" t="s">
        <v>79</v>
      </c>
      <c r="W28" s="97" t="s">
        <v>80</v>
      </c>
      <c r="X28" s="106"/>
      <c r="Y28" s="106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</row>
    <row r="29">
      <c r="A29" s="96"/>
      <c r="B29" s="97" t="s">
        <v>81</v>
      </c>
      <c r="C29" s="97" t="s">
        <v>82</v>
      </c>
      <c r="D29" s="98" t="s">
        <v>71</v>
      </c>
      <c r="E29" s="110" t="s">
        <v>77</v>
      </c>
      <c r="F29" s="100">
        <v>2025.0</v>
      </c>
      <c r="G29" s="100" t="s">
        <v>78</v>
      </c>
      <c r="H29" s="101">
        <v>340000.0</v>
      </c>
      <c r="I29" s="102">
        <v>71.4</v>
      </c>
      <c r="J29" s="102">
        <v>50.0</v>
      </c>
      <c r="K29" s="100">
        <v>27.0</v>
      </c>
      <c r="L29" s="100">
        <v>1.0</v>
      </c>
      <c r="M29" s="100">
        <v>1.0</v>
      </c>
      <c r="N29" s="110">
        <v>4.0</v>
      </c>
      <c r="O29" s="100" t="s">
        <v>74</v>
      </c>
      <c r="P29" s="101">
        <f t="shared" si="19"/>
        <v>4761.904762</v>
      </c>
      <c r="Q29" s="101">
        <f t="shared" si="24"/>
        <v>6800</v>
      </c>
      <c r="R29" s="101">
        <f t="shared" si="21"/>
        <v>12592.59259</v>
      </c>
      <c r="S29" s="101">
        <f t="shared" si="22"/>
        <v>176.366843</v>
      </c>
      <c r="T29" s="104"/>
      <c r="U29" s="105"/>
      <c r="V29" s="97" t="s">
        <v>81</v>
      </c>
      <c r="W29" s="97" t="s">
        <v>82</v>
      </c>
      <c r="X29" s="106"/>
      <c r="Y29" s="106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</row>
    <row r="30">
      <c r="A30" s="96"/>
      <c r="B30" s="97" t="s">
        <v>81</v>
      </c>
      <c r="C30" s="97" t="s">
        <v>82</v>
      </c>
      <c r="D30" s="98" t="s">
        <v>71</v>
      </c>
      <c r="E30" s="110" t="s">
        <v>77</v>
      </c>
      <c r="F30" s="100">
        <v>2025.0</v>
      </c>
      <c r="G30" s="100" t="s">
        <v>78</v>
      </c>
      <c r="H30" s="101">
        <v>640000.0</v>
      </c>
      <c r="I30" s="102">
        <v>142.0</v>
      </c>
      <c r="J30" s="102">
        <v>92.0</v>
      </c>
      <c r="K30" s="100">
        <v>27.0</v>
      </c>
      <c r="L30" s="100">
        <v>2.0</v>
      </c>
      <c r="M30" s="100">
        <v>1.0</v>
      </c>
      <c r="N30" s="110">
        <v>4.0</v>
      </c>
      <c r="O30" s="100" t="s">
        <v>74</v>
      </c>
      <c r="P30" s="101">
        <f t="shared" si="19"/>
        <v>4507.042254</v>
      </c>
      <c r="Q30" s="101">
        <f t="shared" si="24"/>
        <v>6956.521739</v>
      </c>
      <c r="R30" s="101">
        <f t="shared" si="21"/>
        <v>23703.7037</v>
      </c>
      <c r="S30" s="101">
        <f t="shared" si="22"/>
        <v>166.9274909</v>
      </c>
      <c r="T30" s="104"/>
      <c r="U30" s="105"/>
      <c r="V30" s="97" t="s">
        <v>81</v>
      </c>
      <c r="W30" s="97" t="s">
        <v>82</v>
      </c>
      <c r="X30" s="106"/>
      <c r="Y30" s="106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</row>
    <row r="31">
      <c r="A31" s="96"/>
      <c r="B31" s="114" t="s">
        <v>83</v>
      </c>
      <c r="C31" s="97" t="s">
        <v>84</v>
      </c>
      <c r="D31" s="98" t="s">
        <v>71</v>
      </c>
      <c r="E31" s="98" t="s">
        <v>77</v>
      </c>
      <c r="F31" s="100">
        <v>2024.0</v>
      </c>
      <c r="G31" s="100" t="s">
        <v>73</v>
      </c>
      <c r="H31" s="101">
        <v>155500.0</v>
      </c>
      <c r="I31" s="102">
        <v>57.6</v>
      </c>
      <c r="J31" s="102">
        <f>4.83+1.98+7.67+17.7+4.5</f>
        <v>36.68</v>
      </c>
      <c r="K31" s="100">
        <v>25.0</v>
      </c>
      <c r="L31" s="100">
        <v>1.0</v>
      </c>
      <c r="M31" s="100">
        <v>1.0</v>
      </c>
      <c r="N31" s="110">
        <v>2.0</v>
      </c>
      <c r="O31" s="100" t="s">
        <v>74</v>
      </c>
      <c r="P31" s="101">
        <f t="shared" si="19"/>
        <v>2699.652778</v>
      </c>
      <c r="Q31" s="101">
        <f t="shared" si="24"/>
        <v>4239.367503</v>
      </c>
      <c r="R31" s="101">
        <f t="shared" si="21"/>
        <v>6220</v>
      </c>
      <c r="S31" s="101">
        <f t="shared" si="22"/>
        <v>107.9861111</v>
      </c>
      <c r="T31" s="106"/>
      <c r="U31" s="105"/>
      <c r="V31" s="114" t="s">
        <v>83</v>
      </c>
      <c r="W31" s="97" t="s">
        <v>84</v>
      </c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</row>
    <row r="32">
      <c r="A32" s="96"/>
      <c r="B32" s="114" t="s">
        <v>83</v>
      </c>
      <c r="C32" s="97" t="s">
        <v>84</v>
      </c>
      <c r="D32" s="98" t="s">
        <v>71</v>
      </c>
      <c r="E32" s="99" t="s">
        <v>77</v>
      </c>
      <c r="F32" s="100">
        <v>2024.0</v>
      </c>
      <c r="G32" s="100" t="s">
        <v>73</v>
      </c>
      <c r="H32" s="101">
        <v>272658.0</v>
      </c>
      <c r="I32" s="102">
        <v>94.0</v>
      </c>
      <c r="J32" s="102">
        <f>64</f>
        <v>64</v>
      </c>
      <c r="K32" s="100">
        <v>25.0</v>
      </c>
      <c r="L32" s="100">
        <v>2.0</v>
      </c>
      <c r="M32" s="100">
        <v>2.0</v>
      </c>
      <c r="N32" s="110">
        <v>2.0</v>
      </c>
      <c r="O32" s="100" t="s">
        <v>74</v>
      </c>
      <c r="P32" s="101">
        <f t="shared" si="19"/>
        <v>2900.617021</v>
      </c>
      <c r="Q32" s="101">
        <f t="shared" si="24"/>
        <v>4260.28125</v>
      </c>
      <c r="R32" s="101">
        <f t="shared" si="21"/>
        <v>10906.32</v>
      </c>
      <c r="S32" s="101">
        <f t="shared" si="22"/>
        <v>116.0246809</v>
      </c>
      <c r="T32" s="106"/>
      <c r="U32" s="105"/>
      <c r="V32" s="114" t="s">
        <v>83</v>
      </c>
      <c r="W32" s="97" t="s">
        <v>84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</row>
    <row r="33">
      <c r="A33" s="96"/>
      <c r="B33" s="97" t="s">
        <v>85</v>
      </c>
      <c r="C33" s="97" t="s">
        <v>86</v>
      </c>
      <c r="D33" s="98" t="s">
        <v>71</v>
      </c>
      <c r="E33" s="99" t="s">
        <v>77</v>
      </c>
      <c r="F33" s="100">
        <v>2024.0</v>
      </c>
      <c r="G33" s="100" t="s">
        <v>73</v>
      </c>
      <c r="H33" s="101">
        <v>190000.0</v>
      </c>
      <c r="I33" s="102">
        <v>71.0</v>
      </c>
      <c r="J33" s="102">
        <v>71.0</v>
      </c>
      <c r="K33" s="100">
        <v>30.0</v>
      </c>
      <c r="L33" s="100">
        <v>1.0</v>
      </c>
      <c r="M33" s="100">
        <v>1.0</v>
      </c>
      <c r="N33" s="110">
        <v>3.0</v>
      </c>
      <c r="O33" s="100" t="s">
        <v>74</v>
      </c>
      <c r="P33" s="101">
        <f t="shared" si="19"/>
        <v>2676.056338</v>
      </c>
      <c r="Q33" s="101">
        <f t="shared" si="24"/>
        <v>2676.056338</v>
      </c>
      <c r="R33" s="101">
        <f t="shared" si="21"/>
        <v>6333.333333</v>
      </c>
      <c r="S33" s="101">
        <f>P33/K33</f>
        <v>89.20187793</v>
      </c>
      <c r="T33" s="106"/>
      <c r="U33" s="105"/>
      <c r="V33" s="97" t="s">
        <v>85</v>
      </c>
      <c r="W33" s="97" t="s">
        <v>86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</row>
    <row r="34">
      <c r="A34" s="96"/>
      <c r="B34" s="115" t="s">
        <v>87</v>
      </c>
      <c r="C34" s="115" t="s">
        <v>88</v>
      </c>
      <c r="D34" s="116" t="s">
        <v>71</v>
      </c>
      <c r="E34" s="117" t="s">
        <v>77</v>
      </c>
      <c r="F34" s="118">
        <v>2023.0</v>
      </c>
      <c r="G34" s="118" t="s">
        <v>89</v>
      </c>
      <c r="H34" s="119">
        <v>150000.0</v>
      </c>
      <c r="I34" s="120">
        <v>28.0</v>
      </c>
      <c r="J34" s="120">
        <v>28.0</v>
      </c>
      <c r="K34" s="118">
        <v>99.0</v>
      </c>
      <c r="L34" s="118">
        <v>1.0</v>
      </c>
      <c r="M34" s="118">
        <v>1.0</v>
      </c>
      <c r="N34" s="117">
        <v>5.0</v>
      </c>
      <c r="O34" s="118" t="s">
        <v>74</v>
      </c>
      <c r="P34" s="119">
        <f t="shared" si="19"/>
        <v>5357.142857</v>
      </c>
      <c r="Q34" s="119">
        <f t="shared" si="24"/>
        <v>5357.142857</v>
      </c>
      <c r="R34" s="119">
        <f t="shared" si="21"/>
        <v>1515.151515</v>
      </c>
      <c r="S34" s="119">
        <f>R34/I34</f>
        <v>54.11255411</v>
      </c>
      <c r="T34" s="106"/>
      <c r="U34" s="105"/>
      <c r="V34" s="115" t="s">
        <v>87</v>
      </c>
      <c r="W34" s="115" t="s">
        <v>88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</row>
  </sheetData>
  <mergeCells count="8">
    <mergeCell ref="E2:E3"/>
    <mergeCell ref="E4:E5"/>
    <mergeCell ref="E6:E7"/>
    <mergeCell ref="B9:C10"/>
    <mergeCell ref="D9:E9"/>
    <mergeCell ref="F9:G9"/>
    <mergeCell ref="H9:I9"/>
    <mergeCell ref="D18:E18"/>
  </mergeCells>
  <hyperlinks>
    <hyperlink r:id="rId1" ref="B19"/>
    <hyperlink r:id="rId2" ref="C19"/>
    <hyperlink r:id="rId3" ref="D19"/>
    <hyperlink r:id="rId4" ref="V19"/>
    <hyperlink r:id="rId5" ref="W19"/>
    <hyperlink r:id="rId6" ref="B20"/>
    <hyperlink r:id="rId7" ref="C20"/>
    <hyperlink r:id="rId8" ref="D20"/>
    <hyperlink r:id="rId9" ref="V20"/>
    <hyperlink r:id="rId10" ref="W20"/>
    <hyperlink r:id="rId11" ref="B21"/>
    <hyperlink r:id="rId12" ref="C21"/>
    <hyperlink r:id="rId13" ref="D21"/>
    <hyperlink r:id="rId14" ref="V21"/>
    <hyperlink r:id="rId15" ref="W21"/>
    <hyperlink r:id="rId16" ref="B22"/>
    <hyperlink r:id="rId17" ref="C22"/>
    <hyperlink r:id="rId18" ref="D22"/>
    <hyperlink r:id="rId19" ref="V22"/>
    <hyperlink r:id="rId20" ref="W22"/>
    <hyperlink r:id="rId21" ref="B23"/>
    <hyperlink r:id="rId22" ref="C23"/>
    <hyperlink r:id="rId23" ref="D23"/>
    <hyperlink r:id="rId24" ref="V23"/>
    <hyperlink r:id="rId25" ref="W23"/>
    <hyperlink r:id="rId26" ref="B24"/>
    <hyperlink r:id="rId27" ref="C24"/>
    <hyperlink r:id="rId28" ref="D24"/>
    <hyperlink r:id="rId29" ref="V24"/>
    <hyperlink r:id="rId30" ref="W24"/>
    <hyperlink r:id="rId31" ref="B25"/>
    <hyperlink r:id="rId32" ref="C25"/>
    <hyperlink r:id="rId33" ref="D25"/>
    <hyperlink r:id="rId34" ref="V25"/>
    <hyperlink r:id="rId35" ref="W25"/>
    <hyperlink r:id="rId36" ref="B26"/>
    <hyperlink r:id="rId37" ref="C26"/>
    <hyperlink r:id="rId38" ref="D26"/>
    <hyperlink r:id="rId39" ref="V26"/>
    <hyperlink r:id="rId40" ref="W26"/>
    <hyperlink r:id="rId41" ref="B27"/>
    <hyperlink r:id="rId42" ref="C27"/>
    <hyperlink r:id="rId43" ref="D27"/>
    <hyperlink r:id="rId44" ref="V27"/>
    <hyperlink r:id="rId45" ref="W27"/>
    <hyperlink r:id="rId46" ref="C28"/>
    <hyperlink r:id="rId47" ref="D28"/>
    <hyperlink r:id="rId48" ref="W28"/>
    <hyperlink r:id="rId49" ref="B29"/>
    <hyperlink r:id="rId50" ref="C29"/>
    <hyperlink r:id="rId51" ref="D29"/>
    <hyperlink r:id="rId52" ref="V29"/>
    <hyperlink r:id="rId53" ref="W29"/>
    <hyperlink r:id="rId54" ref="B30"/>
    <hyperlink r:id="rId55" ref="C30"/>
    <hyperlink r:id="rId56" ref="D30"/>
    <hyperlink r:id="rId57" ref="V30"/>
    <hyperlink r:id="rId58" ref="W30"/>
    <hyperlink r:id="rId59" ref="C31"/>
    <hyperlink r:id="rId60" ref="D31"/>
    <hyperlink r:id="rId61" ref="E31"/>
    <hyperlink r:id="rId62" ref="W31"/>
    <hyperlink r:id="rId63" ref="C32"/>
    <hyperlink r:id="rId64" ref="D32"/>
    <hyperlink r:id="rId65" ref="W32"/>
    <hyperlink r:id="rId66" ref="B33"/>
    <hyperlink r:id="rId67" ref="C33"/>
    <hyperlink r:id="rId68" ref="D33"/>
    <hyperlink r:id="rId69" ref="V33"/>
    <hyperlink r:id="rId70" ref="W33"/>
    <hyperlink r:id="rId71" ref="B34"/>
    <hyperlink r:id="rId72" ref="C34"/>
    <hyperlink r:id="rId73" ref="D34"/>
    <hyperlink r:id="rId74" ref="V34"/>
    <hyperlink r:id="rId75" ref="W34"/>
  </hyperlinks>
  <drawing r:id="rId7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75"/>
  <cols>
    <col customWidth="1" min="1" max="1" width="2.75"/>
    <col customWidth="1" min="4" max="4" width="15.0"/>
    <col customWidth="1" min="5" max="5" width="14.0"/>
    <col customWidth="1" min="11" max="11" width="12.5"/>
    <col customWidth="1" min="12" max="12" width="10.25"/>
    <col customWidth="1" min="13" max="13" width="13.25"/>
    <col customWidth="1" min="14" max="15" width="8.63"/>
    <col customWidth="1" min="16" max="16" width="7.25"/>
  </cols>
  <sheetData>
    <row r="1" ht="7.5" customHeight="1"/>
    <row r="2">
      <c r="B2" s="121"/>
      <c r="C2" s="121"/>
      <c r="D2" s="121"/>
      <c r="E2" s="121"/>
      <c r="F2" s="121"/>
      <c r="G2" s="121"/>
      <c r="H2" s="122"/>
      <c r="I2" s="123"/>
      <c r="J2" s="123"/>
    </row>
    <row r="3">
      <c r="A3" s="124"/>
      <c r="B3" s="125" t="s">
        <v>90</v>
      </c>
      <c r="C3" s="126" t="s">
        <v>91</v>
      </c>
      <c r="D3" s="126" t="s">
        <v>92</v>
      </c>
      <c r="E3" s="126" t="s">
        <v>93</v>
      </c>
      <c r="F3" s="126" t="s">
        <v>94</v>
      </c>
      <c r="G3" s="125" t="s">
        <v>95</v>
      </c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>
      <c r="B4" s="127" t="str">
        <f>IFERROR(__xludf.DUMMYFUNCTION("UNIQUE(C11:C28)"),"")</f>
        <v/>
      </c>
      <c r="C4" s="128" t="str">
        <f t="array" ref="C4">MEDIAN(IF($C$12:$C$29=B4,$G$12:$G$29))</f>
        <v>#NUM!</v>
      </c>
      <c r="D4" s="129" t="str">
        <f t="array" ref="D4">MEDIAN(IF($C$12:$C$29=B4,H11:H28))</f>
        <v>#NUM!</v>
      </c>
      <c r="E4" s="128" t="str">
        <f t="array" ref="E4">MEDIAN(IF(C11:C28=B4,I11:I28))</f>
        <v>#NUM!</v>
      </c>
      <c r="F4" s="130">
        <v>30000.0</v>
      </c>
      <c r="G4" s="131"/>
      <c r="H4" s="132" t="s">
        <v>24</v>
      </c>
    </row>
    <row r="5">
      <c r="B5" s="127"/>
      <c r="C5" s="128" t="str">
        <f t="array" ref="C5">MEDIAN(IF($C$12:$C$29=B5,$G$12:$G$29))</f>
        <v>#NUM!</v>
      </c>
      <c r="D5" s="129" t="str">
        <f t="array" ref="D5">MEDIAN(IF($C$12:$C$29=B5,H12:H29))</f>
        <v>#NUM!</v>
      </c>
      <c r="E5" s="128" t="str">
        <f t="array" ref="E5">MEDIAN(IF(C12:C29=B5,I12:I29))</f>
        <v>#NUM!</v>
      </c>
      <c r="F5" s="130">
        <v>50000.0</v>
      </c>
      <c r="G5" s="131"/>
      <c r="H5" s="132" t="s">
        <v>25</v>
      </c>
    </row>
    <row r="6" ht="9.75" customHeight="1">
      <c r="B6" s="121"/>
      <c r="C6" s="121"/>
      <c r="D6" s="121"/>
      <c r="E6" s="121"/>
      <c r="F6" s="121"/>
      <c r="G6" s="121"/>
      <c r="H6" s="122"/>
    </row>
    <row r="7">
      <c r="B7" s="121"/>
      <c r="C7" s="121"/>
      <c r="D7" s="121"/>
      <c r="E7" s="121"/>
      <c r="F7" s="121"/>
      <c r="G7" s="121"/>
      <c r="H7" s="122"/>
      <c r="I7" s="123"/>
      <c r="J7" s="123"/>
    </row>
    <row r="8">
      <c r="B8" s="133" t="s">
        <v>96</v>
      </c>
      <c r="C8" s="133" t="s">
        <v>74</v>
      </c>
      <c r="D8" s="123"/>
      <c r="E8" s="123"/>
      <c r="F8" s="123"/>
      <c r="G8" s="123"/>
      <c r="H8" s="123"/>
      <c r="I8" s="123"/>
      <c r="J8" s="123"/>
    </row>
    <row r="9">
      <c r="B9" s="121"/>
      <c r="C9" s="121"/>
      <c r="D9" s="121"/>
      <c r="E9" s="121"/>
      <c r="F9" s="121"/>
      <c r="G9" s="121"/>
      <c r="H9" s="122"/>
      <c r="I9" s="123"/>
      <c r="J9" s="123"/>
    </row>
    <row r="10">
      <c r="A10" s="134"/>
      <c r="B10" s="135" t="s">
        <v>97</v>
      </c>
      <c r="C10" s="135" t="s">
        <v>98</v>
      </c>
      <c r="D10" s="136" t="s">
        <v>99</v>
      </c>
      <c r="E10" s="135" t="s">
        <v>100</v>
      </c>
      <c r="F10" s="135" t="s">
        <v>101</v>
      </c>
      <c r="G10" s="135" t="s">
        <v>102</v>
      </c>
      <c r="H10" s="135" t="s">
        <v>103</v>
      </c>
      <c r="I10" s="137" t="s">
        <v>104</v>
      </c>
      <c r="J10" s="135" t="s">
        <v>105</v>
      </c>
      <c r="K10" s="137" t="s">
        <v>37</v>
      </c>
      <c r="L10" s="137" t="s">
        <v>106</v>
      </c>
      <c r="M10" s="137" t="s">
        <v>61</v>
      </c>
      <c r="N10" s="137" t="s">
        <v>62</v>
      </c>
      <c r="O10" s="137" t="s">
        <v>107</v>
      </c>
      <c r="P10" s="138" t="s">
        <v>108</v>
      </c>
      <c r="Q10" s="138" t="s">
        <v>65</v>
      </c>
      <c r="R10" s="138" t="s">
        <v>66</v>
      </c>
      <c r="S10" s="138" t="s">
        <v>67</v>
      </c>
      <c r="T10" s="138" t="s">
        <v>68</v>
      </c>
      <c r="U10" s="137" t="s">
        <v>109</v>
      </c>
      <c r="V10" s="137" t="s">
        <v>110</v>
      </c>
      <c r="W10" s="134"/>
      <c r="X10" s="134"/>
      <c r="Y10" s="134"/>
      <c r="Z10" s="134"/>
    </row>
    <row r="11">
      <c r="A11" s="139">
        <v>1.0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</row>
    <row r="12">
      <c r="A12" s="139">
        <v>2.0</v>
      </c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0"/>
      <c r="P12" s="141"/>
      <c r="Q12" s="141"/>
      <c r="R12" s="141"/>
      <c r="S12" s="141"/>
      <c r="T12" s="141"/>
      <c r="U12" s="140"/>
      <c r="V12" s="140"/>
    </row>
    <row r="13">
      <c r="A13" s="139">
        <v>3.0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0"/>
      <c r="V13" s="140"/>
    </row>
    <row r="14">
      <c r="A14" s="139">
        <v>4.0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0"/>
      <c r="V14" s="140"/>
    </row>
    <row r="15">
      <c r="A15" s="139">
        <v>5.0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0"/>
      <c r="V15" s="140"/>
    </row>
    <row r="16">
      <c r="A16" s="139">
        <v>6.0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0"/>
      <c r="V16" s="140"/>
    </row>
    <row r="17">
      <c r="A17" s="139">
        <v>7.0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0"/>
      <c r="V17" s="140"/>
    </row>
    <row r="18">
      <c r="A18" s="139">
        <v>8.0</v>
      </c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0"/>
      <c r="V18" s="140"/>
    </row>
    <row r="19">
      <c r="A19" s="139">
        <v>9.0</v>
      </c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0"/>
      <c r="V19" s="140"/>
    </row>
    <row r="20">
      <c r="A20" s="139">
        <v>10.0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0"/>
      <c r="V20" s="140"/>
    </row>
    <row r="21">
      <c r="A21" s="139">
        <v>11.0</v>
      </c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0"/>
      <c r="V21" s="140"/>
    </row>
    <row r="22">
      <c r="A22" s="139">
        <v>12.0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0"/>
      <c r="V22" s="140"/>
    </row>
    <row r="23">
      <c r="A23" s="139">
        <v>13.0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0"/>
      <c r="V23" s="140"/>
    </row>
    <row r="24">
      <c r="A24" s="139">
        <v>14.0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0"/>
      <c r="V24" s="140"/>
    </row>
    <row r="25">
      <c r="A25" s="139">
        <v>15.0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0"/>
      <c r="V25" s="140"/>
    </row>
    <row r="26">
      <c r="A26" s="139">
        <v>16.0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0"/>
      <c r="V26" s="140"/>
    </row>
    <row r="27">
      <c r="A27" s="139">
        <v>17.0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0"/>
      <c r="V27" s="140"/>
    </row>
    <row r="28">
      <c r="A28" s="139">
        <v>18.0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0"/>
      <c r="V28" s="140"/>
    </row>
    <row r="29">
      <c r="A29" s="139">
        <v>19.0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0"/>
      <c r="V29" s="140"/>
    </row>
    <row r="30">
      <c r="A30" s="139">
        <v>20.0</v>
      </c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0"/>
      <c r="V30" s="140"/>
    </row>
    <row r="31">
      <c r="A31" s="139">
        <v>21.0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0"/>
      <c r="V31" s="140"/>
    </row>
    <row r="32">
      <c r="A32" s="139">
        <v>22.0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0"/>
      <c r="V32" s="140"/>
    </row>
    <row r="33">
      <c r="A33" s="139">
        <v>23.0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0"/>
      <c r="V33" s="140"/>
    </row>
  </sheetData>
  <dataValidations>
    <dataValidation type="list" allowBlank="1" showErrorMessage="1" sqref="V11">
      <formula1>"Airbnb,Booking,FB Marketplace,Telegram,BnB profits"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8.63"/>
    <col customWidth="1" min="3" max="3" width="9.25"/>
    <col customWidth="1" min="4" max="4" width="10.63"/>
    <col customWidth="1" min="5" max="5" width="10.75"/>
    <col customWidth="1" min="6" max="6" width="16.88"/>
    <col customWidth="1" min="7" max="7" width="7.13"/>
    <col customWidth="1" min="8" max="8" width="13.25"/>
    <col customWidth="1" min="10" max="10" width="14.88"/>
  </cols>
  <sheetData>
    <row r="1">
      <c r="L1" s="139"/>
      <c r="M1" s="142">
        <f>IFERROR(__xludf.DUMMYFUNCTION("importrange(""https://docs.google.com/spreadsheets/d/1MA7cpVEavY0bOzyL1CHu9QlGJHTDJWsbroGiyhcadXI/edit#gid=0&amp;fvid=2073134684"",""Off-plan Bali!P2"")"),2024.25)</f>
        <v>2024.25</v>
      </c>
    </row>
    <row r="2">
      <c r="B2" s="125" t="s">
        <v>111</v>
      </c>
      <c r="C2" s="125" t="s">
        <v>112</v>
      </c>
      <c r="D2" s="125" t="s">
        <v>113</v>
      </c>
      <c r="E2" s="125" t="s">
        <v>114</v>
      </c>
      <c r="F2" s="125" t="s">
        <v>115</v>
      </c>
      <c r="G2" s="125" t="s">
        <v>116</v>
      </c>
      <c r="H2" s="125" t="s">
        <v>117</v>
      </c>
      <c r="I2" s="125" t="s">
        <v>118</v>
      </c>
      <c r="J2" s="125" t="s">
        <v>119</v>
      </c>
    </row>
    <row r="3">
      <c r="B3" s="143">
        <f>'Вводныеintroductory'!D29</f>
        <v>180000</v>
      </c>
      <c r="C3" s="144">
        <v>0.2</v>
      </c>
      <c r="D3" s="145">
        <v>100.0</v>
      </c>
      <c r="E3" s="144">
        <v>0.04</v>
      </c>
      <c r="F3" s="145">
        <v>30.0</v>
      </c>
      <c r="G3" s="146">
        <v>2025.0</v>
      </c>
      <c r="H3" s="145">
        <v>2.0</v>
      </c>
      <c r="I3" s="147">
        <f>('расчет ADR и OccupancyADR and O'!F4*(1-C3)*(1-10%)*(1-18%)-D3*12)/B3</f>
        <v>0.09173333333</v>
      </c>
      <c r="J3" s="148">
        <f>1/(1/I3+(G3+H3/4-$M$1))</f>
        <v>0.08229665072</v>
      </c>
      <c r="K3" s="132" t="s">
        <v>120</v>
      </c>
    </row>
    <row r="4">
      <c r="B4" s="143">
        <f>'Вводныеintroductory'!D30</f>
        <v>300000</v>
      </c>
      <c r="C4" s="144">
        <v>0.2</v>
      </c>
      <c r="D4" s="145">
        <v>100.0</v>
      </c>
      <c r="E4" s="144">
        <v>0.04</v>
      </c>
      <c r="F4" s="145">
        <v>30.0</v>
      </c>
      <c r="G4" s="146">
        <v>2025.0</v>
      </c>
      <c r="H4" s="145">
        <v>2.0</v>
      </c>
      <c r="I4" s="147">
        <f>('расчет ADR и OccupancyADR and O'!F5*(1-C4)*(1-10%)*(1-18%)-D4*12)/B4</f>
        <v>0.0944</v>
      </c>
      <c r="J4" s="148">
        <f>1/(1/I4+(G4-$M$1+(4-H4+4-$L$1)/4))</f>
        <v>0.07786209172</v>
      </c>
      <c r="K4" s="132" t="s">
        <v>32</v>
      </c>
    </row>
    <row r="6">
      <c r="B6" s="139" t="s">
        <v>121</v>
      </c>
      <c r="D6" s="149" t="s">
        <v>122</v>
      </c>
      <c r="F6" s="150" t="s">
        <v>123</v>
      </c>
      <c r="H6" s="151" t="s">
        <v>124</v>
      </c>
      <c r="I6" s="152"/>
      <c r="J6" s="151" t="s">
        <v>125</v>
      </c>
      <c r="K6" s="152"/>
      <c r="O6" s="151" t="s">
        <v>126</v>
      </c>
      <c r="P6" s="152"/>
      <c r="Q6" s="151" t="s">
        <v>127</v>
      </c>
      <c r="R6" s="152"/>
    </row>
    <row r="7" ht="20.25" customHeight="1">
      <c r="B7" s="153">
        <f>C7*(C7+1)/2</f>
        <v>465</v>
      </c>
      <c r="C7" s="154">
        <v>30.0</v>
      </c>
      <c r="H7" s="132" t="s">
        <v>120</v>
      </c>
      <c r="I7" s="132" t="s">
        <v>32</v>
      </c>
      <c r="J7" s="132" t="s">
        <v>120</v>
      </c>
      <c r="K7" s="132" t="s">
        <v>32</v>
      </c>
      <c r="O7" s="132" t="s">
        <v>120</v>
      </c>
      <c r="P7" s="132" t="s">
        <v>32</v>
      </c>
      <c r="Q7" s="132" t="s">
        <v>128</v>
      </c>
      <c r="R7" s="132" t="s">
        <v>32</v>
      </c>
    </row>
    <row r="8">
      <c r="B8" s="154">
        <v>1.0</v>
      </c>
      <c r="D8" s="155">
        <f>1/B7</f>
        <v>0.002150537634</v>
      </c>
      <c r="E8" s="156"/>
      <c r="F8" s="157">
        <f>1-D8</f>
        <v>0.9978494624</v>
      </c>
      <c r="H8" s="157">
        <f>$J$3*((1-$E$3%)^B8)</f>
        <v>0.08226373206</v>
      </c>
      <c r="I8" s="157">
        <f>$J$4*((1+$E$4%)^B8)</f>
        <v>0.07789323656</v>
      </c>
      <c r="J8" s="158">
        <f t="shared" ref="J8:J37" si="1">$J$3*(1+$E$3)^B8-D8</f>
        <v>0.08343797911</v>
      </c>
      <c r="K8" s="157">
        <f t="shared" ref="K8:K37" si="2">$J$4*(1+$E$4)^B8-D8</f>
        <v>0.07882603775</v>
      </c>
      <c r="O8" s="157">
        <f>$J$3*(1+$E$3)^B8</f>
        <v>0.08558851675</v>
      </c>
      <c r="P8" s="157">
        <f>$J$4*(1+$E$4)^B8</f>
        <v>0.08097657539</v>
      </c>
      <c r="Q8" s="157">
        <f t="shared" ref="Q8:Q37" si="3">O8-D8</f>
        <v>0.08343797911</v>
      </c>
      <c r="R8" s="157">
        <f t="shared" ref="R8:R37" si="4">P8-D8</f>
        <v>0.07882603775</v>
      </c>
    </row>
    <row r="9">
      <c r="B9" s="154">
        <v>2.0</v>
      </c>
      <c r="D9" s="155">
        <f>2/B7</f>
        <v>0.004301075269</v>
      </c>
      <c r="E9" s="156"/>
      <c r="F9" s="157">
        <f t="shared" ref="F9:F37" si="5">F8-D9</f>
        <v>0.9935483871</v>
      </c>
      <c r="H9" s="157">
        <f t="shared" ref="H9:H37" si="6">H8*((1-$E$3%)^B9)</f>
        <v>0.08219793423</v>
      </c>
      <c r="I9" s="157">
        <f t="shared" ref="I9:I37" si="7">I8*((1-$E$4%)^B9)</f>
        <v>0.07783093443</v>
      </c>
      <c r="J9" s="158">
        <f t="shared" si="1"/>
        <v>0.08471098215</v>
      </c>
      <c r="K9" s="157">
        <f t="shared" si="2"/>
        <v>0.07991456313</v>
      </c>
      <c r="O9" s="157">
        <f t="shared" ref="O9:O37" si="8">$J$3*(1+$E$3)^B9+O8</f>
        <v>0.1746005742</v>
      </c>
      <c r="P9" s="157">
        <f t="shared" ref="P9:P37" si="9">$J$4*(1+$E$4)^B9+P8</f>
        <v>0.1651922138</v>
      </c>
      <c r="Q9" s="157">
        <f t="shared" si="3"/>
        <v>0.1702994989</v>
      </c>
      <c r="R9" s="157">
        <f t="shared" si="4"/>
        <v>0.1608911385</v>
      </c>
    </row>
    <row r="10">
      <c r="B10" s="154">
        <v>3.0</v>
      </c>
      <c r="D10" s="155">
        <f>3/B7</f>
        <v>0.006451612903</v>
      </c>
      <c r="E10" s="156"/>
      <c r="F10" s="157">
        <f t="shared" si="5"/>
        <v>0.9870967742</v>
      </c>
      <c r="H10" s="157">
        <f t="shared" si="6"/>
        <v>0.08209933616</v>
      </c>
      <c r="I10" s="157">
        <f t="shared" si="7"/>
        <v>0.07773757466</v>
      </c>
      <c r="J10" s="158">
        <f t="shared" si="1"/>
        <v>0.08612092681</v>
      </c>
      <c r="K10" s="157">
        <f t="shared" si="2"/>
        <v>0.08113265104</v>
      </c>
      <c r="O10" s="157">
        <f t="shared" si="8"/>
        <v>0.2671731139</v>
      </c>
      <c r="P10" s="157">
        <f t="shared" si="9"/>
        <v>0.2527764777</v>
      </c>
      <c r="Q10" s="157">
        <f t="shared" si="3"/>
        <v>0.260721501</v>
      </c>
      <c r="R10" s="157">
        <f t="shared" si="4"/>
        <v>0.2463248648</v>
      </c>
    </row>
    <row r="11">
      <c r="B11" s="154">
        <v>4.0</v>
      </c>
      <c r="D11" s="155">
        <f>4/B7</f>
        <v>0.008602150538</v>
      </c>
      <c r="E11" s="156"/>
      <c r="F11" s="157">
        <f t="shared" si="5"/>
        <v>0.9784946237</v>
      </c>
      <c r="H11" s="157">
        <f t="shared" si="6"/>
        <v>0.08196805602</v>
      </c>
      <c r="I11" s="157">
        <f t="shared" si="7"/>
        <v>0.07761326915</v>
      </c>
      <c r="J11" s="158">
        <f t="shared" si="1"/>
        <v>0.08767329076</v>
      </c>
      <c r="K11" s="157">
        <f t="shared" si="2"/>
        <v>0.08248548396</v>
      </c>
      <c r="O11" s="157">
        <f t="shared" si="8"/>
        <v>0.3634485552</v>
      </c>
      <c r="P11" s="157">
        <f t="shared" si="9"/>
        <v>0.3438641122</v>
      </c>
      <c r="Q11" s="157">
        <f t="shared" si="3"/>
        <v>0.3548464046</v>
      </c>
      <c r="R11" s="157">
        <f t="shared" si="4"/>
        <v>0.3352619617</v>
      </c>
    </row>
    <row r="12">
      <c r="B12" s="154">
        <v>5.0</v>
      </c>
      <c r="D12" s="155">
        <f>5/B7</f>
        <v>0.01075268817</v>
      </c>
      <c r="E12" s="156"/>
      <c r="F12" s="157">
        <f t="shared" si="5"/>
        <v>0.9677419355</v>
      </c>
      <c r="H12" s="157">
        <f t="shared" si="6"/>
        <v>0.081804251</v>
      </c>
      <c r="I12" s="157">
        <f t="shared" si="7"/>
        <v>0.07745816674</v>
      </c>
      <c r="J12" s="158">
        <f t="shared" si="1"/>
        <v>0.08937377078</v>
      </c>
      <c r="K12" s="157">
        <f t="shared" si="2"/>
        <v>0.0839784517</v>
      </c>
      <c r="O12" s="157">
        <f t="shared" si="8"/>
        <v>0.4635750141</v>
      </c>
      <c r="P12" s="157">
        <f t="shared" si="9"/>
        <v>0.4385952521</v>
      </c>
      <c r="Q12" s="157">
        <f t="shared" si="3"/>
        <v>0.452822326</v>
      </c>
      <c r="R12" s="157">
        <f t="shared" si="4"/>
        <v>0.4278425639</v>
      </c>
    </row>
    <row r="13">
      <c r="B13" s="154">
        <v>6.0</v>
      </c>
      <c r="D13" s="155">
        <f>6/B7</f>
        <v>0.01290322581</v>
      </c>
      <c r="E13" s="156"/>
      <c r="F13" s="157">
        <f t="shared" si="5"/>
        <v>0.9548387097</v>
      </c>
      <c r="H13" s="157">
        <f t="shared" si="6"/>
        <v>0.08160811703</v>
      </c>
      <c r="I13" s="157">
        <f t="shared" si="7"/>
        <v>0.07727245294</v>
      </c>
      <c r="J13" s="158">
        <f t="shared" si="1"/>
        <v>0.09122829151</v>
      </c>
      <c r="K13" s="157">
        <f t="shared" si="2"/>
        <v>0.08561715967</v>
      </c>
      <c r="O13" s="157">
        <f t="shared" si="8"/>
        <v>0.5677065314</v>
      </c>
      <c r="P13" s="157">
        <f t="shared" si="9"/>
        <v>0.5371156376</v>
      </c>
      <c r="Q13" s="157">
        <f t="shared" si="3"/>
        <v>0.5548033056</v>
      </c>
      <c r="R13" s="157">
        <f t="shared" si="4"/>
        <v>0.5242124118</v>
      </c>
    </row>
    <row r="14">
      <c r="B14" s="154">
        <v>7.0</v>
      </c>
      <c r="D14" s="155">
        <f>7/B7</f>
        <v>0.01505376344</v>
      </c>
      <c r="E14" s="156"/>
      <c r="F14" s="157">
        <f t="shared" si="5"/>
        <v>0.9397849462</v>
      </c>
      <c r="H14" s="157">
        <f t="shared" si="6"/>
        <v>0.08137988832</v>
      </c>
      <c r="I14" s="157">
        <f t="shared" si="7"/>
        <v>0.07705634954</v>
      </c>
      <c r="J14" s="158">
        <f t="shared" si="1"/>
        <v>0.09324301456</v>
      </c>
      <c r="K14" s="157">
        <f t="shared" si="2"/>
        <v>0.08740743745</v>
      </c>
      <c r="O14" s="157">
        <f t="shared" si="8"/>
        <v>0.6760033094</v>
      </c>
      <c r="P14" s="157">
        <f t="shared" si="9"/>
        <v>0.6395768385</v>
      </c>
      <c r="Q14" s="157">
        <f t="shared" si="3"/>
        <v>0.660949546</v>
      </c>
      <c r="R14" s="157">
        <f t="shared" si="4"/>
        <v>0.624523075</v>
      </c>
    </row>
    <row r="15">
      <c r="B15" s="154">
        <v>8.0</v>
      </c>
      <c r="D15" s="155">
        <f>8/B7</f>
        <v>0.01720430108</v>
      </c>
      <c r="E15" s="156"/>
      <c r="F15" s="157">
        <f t="shared" si="5"/>
        <v>0.9225806452</v>
      </c>
      <c r="H15" s="157">
        <f t="shared" si="6"/>
        <v>0.08111983697</v>
      </c>
      <c r="I15" s="157">
        <f t="shared" si="7"/>
        <v>0.07681011416</v>
      </c>
      <c r="J15" s="158">
        <f t="shared" si="1"/>
        <v>0.09542434805</v>
      </c>
      <c r="K15" s="157">
        <f t="shared" si="2"/>
        <v>0.08935534785</v>
      </c>
      <c r="O15" s="157">
        <f t="shared" si="8"/>
        <v>0.7886319586</v>
      </c>
      <c r="P15" s="157">
        <f t="shared" si="9"/>
        <v>0.7461364874</v>
      </c>
      <c r="Q15" s="157">
        <f t="shared" si="3"/>
        <v>0.7714276575</v>
      </c>
      <c r="R15" s="157">
        <f t="shared" si="4"/>
        <v>0.7289321863</v>
      </c>
    </row>
    <row r="16">
      <c r="B16" s="154">
        <v>9.0</v>
      </c>
      <c r="D16" s="155">
        <f>9/B7</f>
        <v>0.01935483871</v>
      </c>
      <c r="E16" s="156"/>
      <c r="F16" s="157">
        <f t="shared" si="5"/>
        <v>0.9032258065</v>
      </c>
      <c r="H16" s="157">
        <f t="shared" si="6"/>
        <v>0.08082827237</v>
      </c>
      <c r="I16" s="157">
        <f t="shared" si="7"/>
        <v>0.07653403976</v>
      </c>
      <c r="J16" s="158">
        <f t="shared" si="1"/>
        <v>0.09777895638</v>
      </c>
      <c r="K16" s="157">
        <f t="shared" si="2"/>
        <v>0.09146719617</v>
      </c>
      <c r="O16" s="157">
        <f t="shared" si="8"/>
        <v>0.9057657537</v>
      </c>
      <c r="P16" s="157">
        <f t="shared" si="9"/>
        <v>0.8569585223</v>
      </c>
      <c r="Q16" s="157">
        <f t="shared" si="3"/>
        <v>0.886410915</v>
      </c>
      <c r="R16" s="157">
        <f t="shared" si="4"/>
        <v>0.8376036836</v>
      </c>
    </row>
    <row r="17">
      <c r="B17" s="154">
        <v>10.0</v>
      </c>
      <c r="D17" s="155">
        <f>10/B7</f>
        <v>0.02150537634</v>
      </c>
      <c r="E17" s="155">
        <f>SUM(D8:D17)</f>
        <v>0.1182795699</v>
      </c>
      <c r="F17" s="157">
        <f t="shared" si="5"/>
        <v>0.8817204301</v>
      </c>
      <c r="G17" s="157">
        <f>1-E17</f>
        <v>0.8817204301</v>
      </c>
      <c r="H17" s="157">
        <f t="shared" si="6"/>
        <v>0.08050554062</v>
      </c>
      <c r="I17" s="157">
        <f t="shared" si="7"/>
        <v>0.07622845406</v>
      </c>
      <c r="J17" s="158">
        <f t="shared" si="1"/>
        <v>0.1003137705</v>
      </c>
      <c r="K17" s="157">
        <f t="shared" si="2"/>
        <v>0.09374953993</v>
      </c>
      <c r="O17" s="157">
        <f t="shared" si="8"/>
        <v>1.027584901</v>
      </c>
      <c r="P17" s="157">
        <f t="shared" si="9"/>
        <v>0.9722134386</v>
      </c>
      <c r="Q17" s="157">
        <f t="shared" si="3"/>
        <v>1.006079524</v>
      </c>
      <c r="R17" s="157">
        <f t="shared" si="4"/>
        <v>0.9507080622</v>
      </c>
    </row>
    <row r="18">
      <c r="B18" s="154">
        <v>11.0</v>
      </c>
      <c r="D18" s="155">
        <f>11/B7</f>
        <v>0.02365591398</v>
      </c>
      <c r="E18" s="159"/>
      <c r="F18" s="157">
        <f t="shared" si="5"/>
        <v>0.8580645161</v>
      </c>
      <c r="G18" s="157"/>
      <c r="H18" s="157">
        <f t="shared" si="6"/>
        <v>0.08015202384</v>
      </c>
      <c r="I18" s="157">
        <f t="shared" si="7"/>
        <v>0.07589371887</v>
      </c>
      <c r="J18" s="158">
        <f t="shared" si="1"/>
        <v>0.1030359988</v>
      </c>
      <c r="K18" s="157">
        <f t="shared" si="2"/>
        <v>0.09620919895</v>
      </c>
      <c r="O18" s="157">
        <f t="shared" si="8"/>
        <v>1.154276813</v>
      </c>
      <c r="P18" s="157">
        <f t="shared" si="9"/>
        <v>1.092078551</v>
      </c>
      <c r="Q18" s="157">
        <f t="shared" si="3"/>
        <v>1.130620899</v>
      </c>
      <c r="R18" s="157">
        <f t="shared" si="4"/>
        <v>1.068422638</v>
      </c>
    </row>
    <row r="19">
      <c r="B19" s="154">
        <v>12.0</v>
      </c>
      <c r="D19" s="155">
        <f>12/B7</f>
        <v>0.02580645161</v>
      </c>
      <c r="E19" s="159"/>
      <c r="F19" s="157">
        <f t="shared" si="5"/>
        <v>0.8322580645</v>
      </c>
      <c r="G19" s="157"/>
      <c r="H19" s="157">
        <f t="shared" si="6"/>
        <v>0.07976813941</v>
      </c>
      <c r="I19" s="157">
        <f t="shared" si="7"/>
        <v>0.07553022939</v>
      </c>
      <c r="J19" s="158">
        <f t="shared" si="1"/>
        <v>0.1059531377</v>
      </c>
      <c r="K19" s="157">
        <f t="shared" si="2"/>
        <v>0.09885326583</v>
      </c>
      <c r="O19" s="157">
        <f t="shared" si="8"/>
        <v>1.286036403</v>
      </c>
      <c r="P19" s="157">
        <f t="shared" si="9"/>
        <v>1.216738269</v>
      </c>
      <c r="Q19" s="157">
        <f t="shared" si="3"/>
        <v>1.260229951</v>
      </c>
      <c r="R19" s="157">
        <f t="shared" si="4"/>
        <v>1.190931817</v>
      </c>
    </row>
    <row r="20">
      <c r="B20" s="154">
        <v>13.0</v>
      </c>
      <c r="D20" s="155">
        <f>13/B7</f>
        <v>0.02795698925</v>
      </c>
      <c r="E20" s="159"/>
      <c r="F20" s="157">
        <f t="shared" si="5"/>
        <v>0.8043010753</v>
      </c>
      <c r="G20" s="157"/>
      <c r="H20" s="157">
        <f t="shared" si="6"/>
        <v>0.07935433913</v>
      </c>
      <c r="I20" s="157">
        <f t="shared" si="7"/>
        <v>0.07513841343</v>
      </c>
      <c r="J20" s="158">
        <f t="shared" si="1"/>
        <v>0.1090729836</v>
      </c>
      <c r="K20" s="157">
        <f t="shared" si="2"/>
        <v>0.1016891169</v>
      </c>
      <c r="O20" s="157">
        <f t="shared" si="8"/>
        <v>1.423066375</v>
      </c>
      <c r="P20" s="157">
        <f t="shared" si="9"/>
        <v>1.346384375</v>
      </c>
      <c r="Q20" s="157">
        <f t="shared" si="3"/>
        <v>1.395109386</v>
      </c>
      <c r="R20" s="157">
        <f t="shared" si="4"/>
        <v>1.318427386</v>
      </c>
    </row>
    <row r="21">
      <c r="B21" s="154">
        <v>14.0</v>
      </c>
      <c r="D21" s="155">
        <f>14/B7</f>
        <v>0.03010752688</v>
      </c>
      <c r="E21" s="159"/>
      <c r="F21" s="157">
        <f t="shared" si="5"/>
        <v>0.7741935484</v>
      </c>
      <c r="G21" s="157"/>
      <c r="H21" s="157">
        <f t="shared" si="6"/>
        <v>0.07891110838</v>
      </c>
      <c r="I21" s="157">
        <f t="shared" si="7"/>
        <v>0.07471873058</v>
      </c>
      <c r="J21" s="158">
        <f t="shared" si="1"/>
        <v>0.1124036449</v>
      </c>
      <c r="K21" s="157">
        <f t="shared" si="2"/>
        <v>0.1047244235</v>
      </c>
      <c r="O21" s="157">
        <f t="shared" si="8"/>
        <v>1.565577547</v>
      </c>
      <c r="P21" s="157">
        <f t="shared" si="9"/>
        <v>1.481216325</v>
      </c>
      <c r="Q21" s="157">
        <f t="shared" si="3"/>
        <v>1.53547002</v>
      </c>
      <c r="R21" s="157">
        <f t="shared" si="4"/>
        <v>1.451108799</v>
      </c>
    </row>
    <row r="22">
      <c r="B22" s="154">
        <v>15.0</v>
      </c>
      <c r="D22" s="155">
        <f>15/B7</f>
        <v>0.03225806452</v>
      </c>
      <c r="E22" s="159"/>
      <c r="F22" s="157">
        <f t="shared" si="5"/>
        <v>0.7419354839</v>
      </c>
      <c r="G22" s="157"/>
      <c r="H22" s="157">
        <f t="shared" si="6"/>
        <v>0.07843896514</v>
      </c>
      <c r="I22" s="157">
        <f t="shared" si="7"/>
        <v>0.0742716713</v>
      </c>
      <c r="J22" s="158">
        <f t="shared" si="1"/>
        <v>0.1159535541</v>
      </c>
      <c r="K22" s="157">
        <f t="shared" si="2"/>
        <v>0.1079671639</v>
      </c>
      <c r="O22" s="157">
        <f t="shared" si="8"/>
        <v>1.713789166</v>
      </c>
      <c r="P22" s="157">
        <f t="shared" si="9"/>
        <v>1.621441554</v>
      </c>
      <c r="Q22" s="157">
        <f t="shared" si="3"/>
        <v>1.681531101</v>
      </c>
      <c r="R22" s="157">
        <f t="shared" si="4"/>
        <v>1.589183489</v>
      </c>
    </row>
    <row r="23">
      <c r="B23" s="154">
        <v>16.0</v>
      </c>
      <c r="D23" s="155">
        <f>16/B7</f>
        <v>0.03440860215</v>
      </c>
      <c r="E23" s="159"/>
      <c r="F23" s="157">
        <f t="shared" si="5"/>
        <v>0.7075268817</v>
      </c>
      <c r="G23" s="157"/>
      <c r="H23" s="157">
        <f t="shared" si="6"/>
        <v>0.07793845899</v>
      </c>
      <c r="I23" s="157">
        <f t="shared" si="7"/>
        <v>0.07379775596</v>
      </c>
      <c r="J23" s="158">
        <f t="shared" si="1"/>
        <v>0.1197314812</v>
      </c>
      <c r="K23" s="157">
        <f t="shared" si="2"/>
        <v>0.1114256354</v>
      </c>
      <c r="O23" s="157">
        <f t="shared" si="8"/>
        <v>1.867929249</v>
      </c>
      <c r="P23" s="157">
        <f t="shared" si="9"/>
        <v>1.767275791</v>
      </c>
      <c r="Q23" s="157">
        <f t="shared" si="3"/>
        <v>1.833520647</v>
      </c>
      <c r="R23" s="157">
        <f t="shared" si="4"/>
        <v>1.732867189</v>
      </c>
    </row>
    <row r="24">
      <c r="B24" s="154">
        <v>17.0</v>
      </c>
      <c r="D24" s="155">
        <f>17/B7</f>
        <v>0.03655913978</v>
      </c>
      <c r="E24" s="159"/>
      <c r="F24" s="157">
        <f t="shared" si="5"/>
        <v>0.6709677419</v>
      </c>
      <c r="G24" s="157"/>
      <c r="H24" s="157">
        <f t="shared" si="6"/>
        <v>0.07741017002</v>
      </c>
      <c r="I24" s="157">
        <f t="shared" si="7"/>
        <v>0.07329753385</v>
      </c>
      <c r="J24" s="158">
        <f t="shared" si="1"/>
        <v>0.1237465469</v>
      </c>
      <c r="K24" s="157">
        <f t="shared" si="2"/>
        <v>0.1151084673</v>
      </c>
      <c r="O24" s="157">
        <f t="shared" si="8"/>
        <v>2.028234936</v>
      </c>
      <c r="P24" s="157">
        <f t="shared" si="9"/>
        <v>1.918943398</v>
      </c>
      <c r="Q24" s="157">
        <f t="shared" si="3"/>
        <v>1.991675796</v>
      </c>
      <c r="R24" s="157">
        <f t="shared" si="4"/>
        <v>1.882384259</v>
      </c>
    </row>
    <row r="25">
      <c r="B25" s="154">
        <v>18.0</v>
      </c>
      <c r="D25" s="155">
        <f>18/B7</f>
        <v>0.03870967742</v>
      </c>
      <c r="E25" s="159"/>
      <c r="F25" s="157">
        <f t="shared" si="5"/>
        <v>0.6322580645</v>
      </c>
      <c r="G25" s="157"/>
      <c r="H25" s="157">
        <f t="shared" si="6"/>
        <v>0.07685470776</v>
      </c>
      <c r="I25" s="157">
        <f t="shared" si="7"/>
        <v>0.07277158211</v>
      </c>
      <c r="J25" s="158">
        <f t="shared" si="1"/>
        <v>0.1280082368</v>
      </c>
      <c r="K25" s="157">
        <f t="shared" si="2"/>
        <v>0.1190246339</v>
      </c>
      <c r="O25" s="157">
        <f t="shared" si="8"/>
        <v>2.19495285</v>
      </c>
      <c r="P25" s="157">
        <f t="shared" si="9"/>
        <v>2.07667771</v>
      </c>
      <c r="Q25" s="157">
        <f t="shared" si="3"/>
        <v>2.156243173</v>
      </c>
      <c r="R25" s="157">
        <f t="shared" si="4"/>
        <v>2.037968032</v>
      </c>
    </row>
    <row r="26">
      <c r="B26" s="154">
        <v>19.0</v>
      </c>
      <c r="D26" s="155">
        <f>19/B7</f>
        <v>0.04086021505</v>
      </c>
      <c r="E26" s="159"/>
      <c r="F26" s="157">
        <f t="shared" si="5"/>
        <v>0.5913978495</v>
      </c>
      <c r="G26" s="157"/>
      <c r="H26" s="157">
        <f t="shared" si="6"/>
        <v>0.07627270997</v>
      </c>
      <c r="I26" s="157">
        <f t="shared" si="7"/>
        <v>0.07222050461</v>
      </c>
      <c r="J26" s="158">
        <f t="shared" si="1"/>
        <v>0.1325264157</v>
      </c>
      <c r="K26" s="157">
        <f t="shared" si="2"/>
        <v>0.1231834687</v>
      </c>
      <c r="O26" s="157">
        <f t="shared" si="8"/>
        <v>2.368339481</v>
      </c>
      <c r="P26" s="157">
        <f t="shared" si="9"/>
        <v>2.240721394</v>
      </c>
      <c r="Q26" s="157">
        <f t="shared" si="3"/>
        <v>2.327479266</v>
      </c>
      <c r="R26" s="157">
        <f t="shared" si="4"/>
        <v>2.199861179</v>
      </c>
    </row>
    <row r="27">
      <c r="B27" s="154">
        <v>20.0</v>
      </c>
      <c r="D27" s="155">
        <f>20/B7</f>
        <v>0.04301075269</v>
      </c>
      <c r="E27" s="155">
        <f>SUM(D8:D27)</f>
        <v>0.4516129032</v>
      </c>
      <c r="F27" s="157">
        <f t="shared" si="5"/>
        <v>0.5483870968</v>
      </c>
      <c r="G27" s="157">
        <f>1-E27</f>
        <v>0.5483870968</v>
      </c>
      <c r="H27" s="157">
        <f t="shared" si="6"/>
        <v>0.07566484142</v>
      </c>
      <c r="I27" s="157">
        <f t="shared" si="7"/>
        <v>0.07164493082</v>
      </c>
      <c r="J27" s="158">
        <f t="shared" si="1"/>
        <v>0.1373113433</v>
      </c>
      <c r="K27" s="157">
        <f t="shared" si="2"/>
        <v>0.1275946784</v>
      </c>
      <c r="O27" s="157">
        <f t="shared" si="8"/>
        <v>2.548661577</v>
      </c>
      <c r="P27" s="157">
        <f t="shared" si="9"/>
        <v>2.411326825</v>
      </c>
      <c r="Q27" s="157">
        <f t="shared" si="3"/>
        <v>2.505650824</v>
      </c>
      <c r="R27" s="157">
        <f t="shared" si="4"/>
        <v>2.368316072</v>
      </c>
    </row>
    <row r="28">
      <c r="B28" s="154">
        <v>21.0</v>
      </c>
      <c r="D28" s="155">
        <f>21/B7</f>
        <v>0.04516129032</v>
      </c>
      <c r="E28" s="159"/>
      <c r="F28" s="157">
        <f t="shared" si="5"/>
        <v>0.5032258065</v>
      </c>
      <c r="G28" s="157"/>
      <c r="H28" s="157">
        <f t="shared" si="6"/>
        <v>0.07503179266</v>
      </c>
      <c r="I28" s="157">
        <f t="shared" si="7"/>
        <v>0.07104551458</v>
      </c>
      <c r="J28" s="158">
        <f t="shared" si="1"/>
        <v>0.1423736895</v>
      </c>
      <c r="K28" s="157">
        <f t="shared" si="2"/>
        <v>0.1322683581</v>
      </c>
      <c r="O28" s="157">
        <f t="shared" si="8"/>
        <v>2.736196557</v>
      </c>
      <c r="P28" s="157">
        <f t="shared" si="9"/>
        <v>2.588756473</v>
      </c>
      <c r="Q28" s="157">
        <f t="shared" si="3"/>
        <v>2.691035266</v>
      </c>
      <c r="R28" s="157">
        <f t="shared" si="4"/>
        <v>2.543595183</v>
      </c>
    </row>
    <row r="29">
      <c r="B29" s="154">
        <v>22.0</v>
      </c>
      <c r="D29" s="155">
        <f>22/B7</f>
        <v>0.04731182796</v>
      </c>
      <c r="E29" s="159"/>
      <c r="F29" s="157">
        <f t="shared" si="5"/>
        <v>0.4559139785</v>
      </c>
      <c r="G29" s="157"/>
      <c r="H29" s="157">
        <f t="shared" si="6"/>
        <v>0.07437427868</v>
      </c>
      <c r="I29" s="157">
        <f t="shared" si="7"/>
        <v>0.0704229329</v>
      </c>
      <c r="J29" s="158">
        <f t="shared" si="1"/>
        <v>0.1477245511</v>
      </c>
      <c r="K29" s="157">
        <f t="shared" si="2"/>
        <v>0.1372150064</v>
      </c>
      <c r="O29" s="157">
        <f t="shared" si="8"/>
        <v>2.931232936</v>
      </c>
      <c r="P29" s="157">
        <f t="shared" si="9"/>
        <v>2.773283307</v>
      </c>
      <c r="Q29" s="157">
        <f t="shared" si="3"/>
        <v>2.883921108</v>
      </c>
      <c r="R29" s="157">
        <f t="shared" si="4"/>
        <v>2.725971479</v>
      </c>
    </row>
    <row r="30">
      <c r="B30" s="154">
        <v>23.0</v>
      </c>
      <c r="D30" s="155">
        <f>23/B7</f>
        <v>0.04946236559</v>
      </c>
      <c r="E30" s="159"/>
      <c r="F30" s="157">
        <f t="shared" si="5"/>
        <v>0.4064516129</v>
      </c>
      <c r="G30" s="157"/>
      <c r="H30" s="157">
        <f t="shared" si="6"/>
        <v>0.07369303758</v>
      </c>
      <c r="I30" s="157">
        <f t="shared" si="7"/>
        <v>0.06977788468</v>
      </c>
      <c r="J30" s="158">
        <f t="shared" si="1"/>
        <v>0.1533754686</v>
      </c>
      <c r="K30" s="157">
        <f t="shared" si="2"/>
        <v>0.1424455421</v>
      </c>
      <c r="O30" s="157">
        <f t="shared" si="8"/>
        <v>3.13407077</v>
      </c>
      <c r="P30" s="157">
        <f t="shared" si="9"/>
        <v>2.965191215</v>
      </c>
      <c r="Q30" s="157">
        <f t="shared" si="3"/>
        <v>3.084608404</v>
      </c>
      <c r="R30" s="157">
        <f t="shared" si="4"/>
        <v>2.915728849</v>
      </c>
    </row>
    <row r="31">
      <c r="B31" s="154">
        <v>24.0</v>
      </c>
      <c r="D31" s="155">
        <f>24/B7</f>
        <v>0.05161290323</v>
      </c>
      <c r="E31" s="159"/>
      <c r="F31" s="157">
        <f t="shared" si="5"/>
        <v>0.3548387097</v>
      </c>
      <c r="G31" s="157"/>
      <c r="H31" s="157">
        <f t="shared" si="6"/>
        <v>0.07298882917</v>
      </c>
      <c r="I31" s="157">
        <f t="shared" si="7"/>
        <v>0.06911108935</v>
      </c>
      <c r="J31" s="158">
        <f t="shared" si="1"/>
        <v>0.1593384443</v>
      </c>
      <c r="K31" s="157">
        <f t="shared" si="2"/>
        <v>0.1479713208</v>
      </c>
      <c r="O31" s="157">
        <f t="shared" si="8"/>
        <v>3.345022117</v>
      </c>
      <c r="P31" s="157">
        <f t="shared" si="9"/>
        <v>3.164775439</v>
      </c>
      <c r="Q31" s="157">
        <f t="shared" si="3"/>
        <v>3.293409214</v>
      </c>
      <c r="R31" s="157">
        <f t="shared" si="4"/>
        <v>3.113162536</v>
      </c>
    </row>
    <row r="32">
      <c r="B32" s="154">
        <v>25.0</v>
      </c>
      <c r="D32" s="155">
        <f>25/B7</f>
        <v>0.05376344086</v>
      </c>
      <c r="E32" s="155">
        <f>SUM(D8:D32)</f>
        <v>0.6989247312</v>
      </c>
      <c r="F32" s="157">
        <f t="shared" si="5"/>
        <v>0.3010752688</v>
      </c>
      <c r="G32" s="157"/>
      <c r="H32" s="157">
        <f t="shared" si="6"/>
        <v>0.07226243363</v>
      </c>
      <c r="I32" s="157">
        <f t="shared" si="7"/>
        <v>0.06842328564</v>
      </c>
      <c r="J32" s="158">
        <f t="shared" si="1"/>
        <v>0.1656259606</v>
      </c>
      <c r="K32" s="157">
        <f t="shared" si="2"/>
        <v>0.1538041521</v>
      </c>
      <c r="O32" s="157">
        <f t="shared" si="8"/>
        <v>3.564411519</v>
      </c>
      <c r="P32" s="157">
        <f t="shared" si="9"/>
        <v>3.372343032</v>
      </c>
      <c r="Q32" s="157">
        <f t="shared" si="3"/>
        <v>3.510648078</v>
      </c>
      <c r="R32" s="157">
        <f t="shared" si="4"/>
        <v>3.318579591</v>
      </c>
    </row>
    <row r="33">
      <c r="B33" s="154">
        <v>26.0</v>
      </c>
      <c r="D33" s="155">
        <f>26/B7</f>
        <v>0.05591397849</v>
      </c>
      <c r="E33" s="159"/>
      <c r="F33" s="157">
        <f t="shared" si="5"/>
        <v>0.2451612903</v>
      </c>
      <c r="G33" s="157"/>
      <c r="H33" s="157">
        <f t="shared" si="6"/>
        <v>0.07151464997</v>
      </c>
      <c r="I33" s="157">
        <f t="shared" si="7"/>
        <v>0.06771523012</v>
      </c>
      <c r="J33" s="158">
        <f t="shared" si="1"/>
        <v>0.172250999</v>
      </c>
      <c r="K33" s="157">
        <f t="shared" si="2"/>
        <v>0.1599563182</v>
      </c>
      <c r="O33" s="157">
        <f t="shared" si="8"/>
        <v>3.792576496</v>
      </c>
      <c r="P33" s="157">
        <f t="shared" si="9"/>
        <v>3.588213329</v>
      </c>
      <c r="Q33" s="157">
        <f t="shared" si="3"/>
        <v>3.736662518</v>
      </c>
      <c r="R33" s="157">
        <f t="shared" si="4"/>
        <v>3.53229935</v>
      </c>
    </row>
    <row r="34">
      <c r="B34" s="154">
        <v>27.0</v>
      </c>
      <c r="D34" s="155">
        <f>27/B7</f>
        <v>0.05806451613</v>
      </c>
      <c r="E34" s="159"/>
      <c r="F34" s="157">
        <f t="shared" si="5"/>
        <v>0.1870967742</v>
      </c>
      <c r="G34" s="157"/>
      <c r="H34" s="157">
        <f t="shared" si="6"/>
        <v>0.07074629465</v>
      </c>
      <c r="I34" s="157">
        <f t="shared" si="7"/>
        <v>0.06698769588</v>
      </c>
      <c r="J34" s="158">
        <f t="shared" si="1"/>
        <v>0.1792270605</v>
      </c>
      <c r="K34" s="157">
        <f t="shared" si="2"/>
        <v>0.1664405924</v>
      </c>
      <c r="O34" s="157">
        <f t="shared" si="8"/>
        <v>4.029868073</v>
      </c>
      <c r="P34" s="157">
        <f t="shared" si="9"/>
        <v>3.812718437</v>
      </c>
      <c r="Q34" s="157">
        <f t="shared" si="3"/>
        <v>3.971803557</v>
      </c>
      <c r="R34" s="157">
        <f t="shared" si="4"/>
        <v>3.754653921</v>
      </c>
    </row>
    <row r="35">
      <c r="B35" s="154">
        <v>28.0</v>
      </c>
      <c r="D35" s="155">
        <f>28/B7</f>
        <v>0.06021505376</v>
      </c>
      <c r="E35" s="159"/>
      <c r="F35" s="157">
        <f t="shared" si="5"/>
        <v>0.1268817204</v>
      </c>
      <c r="G35" s="157"/>
      <c r="H35" s="157">
        <f t="shared" si="6"/>
        <v>0.06995820009</v>
      </c>
      <c r="I35" s="157">
        <f t="shared" si="7"/>
        <v>0.06624147109</v>
      </c>
      <c r="J35" s="158">
        <f t="shared" si="1"/>
        <v>0.1865681859</v>
      </c>
      <c r="K35" s="157">
        <f t="shared" si="2"/>
        <v>0.1732702591</v>
      </c>
      <c r="O35" s="157">
        <f t="shared" si="8"/>
        <v>4.276651313</v>
      </c>
      <c r="P35" s="157">
        <f t="shared" si="9"/>
        <v>4.04620375</v>
      </c>
      <c r="Q35" s="157">
        <f t="shared" si="3"/>
        <v>4.216436259</v>
      </c>
      <c r="R35" s="157">
        <f t="shared" si="4"/>
        <v>3.985988696</v>
      </c>
    </row>
    <row r="36">
      <c r="B36" s="154">
        <v>29.0</v>
      </c>
      <c r="D36" s="155">
        <f>29/B7</f>
        <v>0.0623655914</v>
      </c>
      <c r="E36" s="159"/>
      <c r="F36" s="157">
        <f t="shared" si="5"/>
        <v>0.06451612903</v>
      </c>
      <c r="G36" s="157"/>
      <c r="H36" s="157">
        <f t="shared" si="6"/>
        <v>0.06915121314</v>
      </c>
      <c r="I36" s="157">
        <f t="shared" si="7"/>
        <v>0.06547735762</v>
      </c>
      <c r="J36" s="158">
        <f t="shared" si="1"/>
        <v>0.1942889779</v>
      </c>
      <c r="K36" s="157">
        <f t="shared" si="2"/>
        <v>0.180459134</v>
      </c>
      <c r="O36" s="157">
        <f t="shared" si="8"/>
        <v>4.533305882</v>
      </c>
      <c r="P36" s="157">
        <f t="shared" si="9"/>
        <v>4.289028475</v>
      </c>
      <c r="Q36" s="157">
        <f t="shared" si="3"/>
        <v>4.47094029</v>
      </c>
      <c r="R36" s="157">
        <f t="shared" si="4"/>
        <v>4.226662884</v>
      </c>
    </row>
    <row r="37">
      <c r="B37" s="154">
        <v>30.0</v>
      </c>
      <c r="D37" s="155">
        <f>30/B7</f>
        <v>0.06451612903</v>
      </c>
      <c r="E37" s="155">
        <f>SUM(D8:D37)</f>
        <v>1</v>
      </c>
      <c r="F37" s="157">
        <f t="shared" si="5"/>
        <v>0</v>
      </c>
      <c r="G37" s="157">
        <f>1-E37</f>
        <v>0</v>
      </c>
      <c r="H37" s="157">
        <f t="shared" si="6"/>
        <v>0.06832619359</v>
      </c>
      <c r="I37" s="157">
        <f t="shared" si="7"/>
        <v>0.06469616959</v>
      </c>
      <c r="J37" s="158">
        <f t="shared" si="1"/>
        <v>0.202404623</v>
      </c>
      <c r="K37" s="157">
        <f t="shared" si="2"/>
        <v>0.1880215854</v>
      </c>
      <c r="O37" s="157">
        <f t="shared" si="8"/>
        <v>4.800226634</v>
      </c>
      <c r="P37" s="157">
        <f t="shared" si="9"/>
        <v>4.54156619</v>
      </c>
      <c r="Q37" s="157">
        <f t="shared" si="3"/>
        <v>4.735710505</v>
      </c>
      <c r="R37" s="157">
        <f t="shared" si="4"/>
        <v>4.477050061</v>
      </c>
    </row>
    <row r="38">
      <c r="D38" s="157"/>
    </row>
  </sheetData>
  <mergeCells count="7">
    <mergeCell ref="B6:C6"/>
    <mergeCell ref="D6:E7"/>
    <mergeCell ref="F6:G7"/>
    <mergeCell ref="H6:I6"/>
    <mergeCell ref="J6:K6"/>
    <mergeCell ref="O6:P6"/>
    <mergeCell ref="Q6:R6"/>
  </mergeCells>
  <drawing r:id="rId1"/>
</worksheet>
</file>